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comments7.xml" ContentType="application/vnd.openxmlformats-officedocument.spreadsheetml.comments+xml"/>
  <Override PartName="/xl/drawings/drawing8.xml" ContentType="application/vnd.openxmlformats-officedocument.drawing+xml"/>
  <Override PartName="/xl/comments8.xml" ContentType="application/vnd.openxmlformats-officedocument.spreadsheetml.comments+xml"/>
  <Override PartName="/xl/drawings/drawing9.xml" ContentType="application/vnd.openxmlformats-officedocument.drawing+xml"/>
  <Override PartName="/xl/comments9.xml" ContentType="application/vnd.openxmlformats-officedocument.spreadsheetml.comments+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hp\Downloads\"/>
    </mc:Choice>
  </mc:AlternateContent>
  <xr:revisionPtr revIDLastSave="0" documentId="13_ncr:1_{87EF78A6-A3B5-4571-9DE9-891D2CB5D12D}" xr6:coauthVersionLast="47" xr6:coauthVersionMax="47" xr10:uidLastSave="{00000000-0000-0000-0000-000000000000}"/>
  <bookViews>
    <workbookView xWindow="-108" yWindow="-108" windowWidth="23256" windowHeight="12456" tabRatio="500" xr2:uid="{00000000-000D-0000-FFFF-FFFF00000000}"/>
  </bookViews>
  <sheets>
    <sheet name="Cover" sheetId="1" r:id="rId1"/>
    <sheet name="Deal Structure" sheetId="2" r:id="rId2"/>
    <sheet name="Cap Table &amp; Ownership" sheetId="3" r:id="rId3"/>
    <sheet name="Historical Financials" sheetId="4" r:id="rId4"/>
    <sheet name="Management Projections" sheetId="5" r:id="rId5"/>
    <sheet name="Valuation &amp; Comps" sheetId="6" r:id="rId6"/>
    <sheet name="PIPE &amp; Investor Detail" sheetId="7" r:id="rId7"/>
    <sheet name="Sponsor &amp; Governance" sheetId="8" r:id="rId8"/>
    <sheet name="Market Opportunity &amp; TAM" sheetId="9" r:id="rId9"/>
    <sheet name="Assumption Framework" sheetId="10" r:id="rId10"/>
    <sheet name="Driver Analysis" sheetId="11" r:id="rId11"/>
    <sheet name="Methodology Ranking" sheetId="12" r:id="rId12"/>
    <sheet name="2026 Peer Comps" sheetId="13" r:id="rId13"/>
    <sheet name="Scenario Model" sheetId="14" r:id="rId14"/>
    <sheet name="Output Tables" sheetId="15" r:id="rId15"/>
    <sheet name="Sources &amp; Data Gaps" sheetId="16" r:id="rId16"/>
    <sheet name="OAKS Shadow Price Trend" sheetId="17" r:id="rId17"/>
  </sheets>
  <calcPr calcId="191029" iterateDelta="1E-4"/>
  <extLst>
    <ext xmlns:loext="http://schemas.libreoffice.org/" uri="{7626C862-2A13-11E5-B345-FEFF819CDC9F}">
      <loext:extCalcPr stringRefSyntax="ExcelA1"/>
    </ext>
  </extLst>
</workbook>
</file>

<file path=xl/calcChain.xml><?xml version="1.0" encoding="utf-8"?>
<calcChain xmlns="http://schemas.openxmlformats.org/spreadsheetml/2006/main">
  <c r="C91" i="17" l="1"/>
  <c r="C84" i="17"/>
  <c r="B84" i="17"/>
  <c r="C83" i="17"/>
  <c r="B83" i="17"/>
  <c r="C82" i="17"/>
  <c r="B82" i="17"/>
  <c r="C80" i="17"/>
  <c r="B80" i="17"/>
  <c r="C79" i="17"/>
  <c r="B79" i="17"/>
  <c r="C78" i="17"/>
  <c r="B78" i="17"/>
  <c r="C77" i="17"/>
  <c r="B77" i="17"/>
  <c r="C76" i="17"/>
  <c r="B76" i="17"/>
  <c r="C75" i="17"/>
  <c r="B75" i="17"/>
  <c r="C74" i="17"/>
  <c r="B74" i="17"/>
  <c r="C73" i="17"/>
  <c r="B73" i="17"/>
  <c r="C72" i="17"/>
  <c r="B72" i="17"/>
  <c r="C71" i="17"/>
  <c r="B71" i="17"/>
  <c r="C70" i="17"/>
  <c r="B70" i="17"/>
  <c r="C69" i="17"/>
  <c r="B69" i="17"/>
  <c r="C68" i="17"/>
  <c r="B68" i="17"/>
  <c r="D68" i="17" s="1"/>
  <c r="C67" i="17"/>
  <c r="B67" i="17"/>
  <c r="C66" i="17"/>
  <c r="B66" i="17"/>
  <c r="D66" i="17" s="1"/>
  <c r="C65" i="17"/>
  <c r="B65" i="17"/>
  <c r="D65" i="17" s="1"/>
  <c r="C64" i="17"/>
  <c r="B64" i="17"/>
  <c r="D64" i="17" s="1"/>
  <c r="C63" i="17"/>
  <c r="B63" i="17"/>
  <c r="D63" i="17" s="1"/>
  <c r="C62" i="17"/>
  <c r="B62" i="17"/>
  <c r="D62" i="17" s="1"/>
  <c r="C61" i="17"/>
  <c r="B61" i="17"/>
  <c r="D61" i="17" s="1"/>
  <c r="C60" i="17"/>
  <c r="B60" i="17"/>
  <c r="D60" i="17" s="1"/>
  <c r="C59" i="17"/>
  <c r="B59" i="17"/>
  <c r="D59" i="17" s="1"/>
  <c r="C58" i="17"/>
  <c r="B58" i="17"/>
  <c r="D58" i="17" s="1"/>
  <c r="C57" i="17"/>
  <c r="B57" i="17"/>
  <c r="D57" i="17" s="1"/>
  <c r="C56" i="17"/>
  <c r="B56" i="17"/>
  <c r="D56" i="17" s="1"/>
  <c r="C55" i="17"/>
  <c r="B55" i="17"/>
  <c r="D55" i="17" s="1"/>
  <c r="C54" i="17"/>
  <c r="B54" i="17"/>
  <c r="D54" i="17" s="1"/>
  <c r="C53" i="17"/>
  <c r="B53" i="17"/>
  <c r="D53" i="17" s="1"/>
  <c r="C52" i="17"/>
  <c r="B52" i="17"/>
  <c r="D52" i="17" s="1"/>
  <c r="C51" i="17"/>
  <c r="B51" i="17"/>
  <c r="D51" i="17" s="1"/>
  <c r="C50" i="17"/>
  <c r="B50" i="17"/>
  <c r="D50" i="17" s="1"/>
  <c r="C49" i="17"/>
  <c r="B49" i="17"/>
  <c r="D49" i="17" s="1"/>
  <c r="C48" i="17"/>
  <c r="B48" i="17"/>
  <c r="D48" i="17" s="1"/>
  <c r="C47" i="17"/>
  <c r="B47" i="17"/>
  <c r="D47" i="17" s="1"/>
  <c r="C46" i="17"/>
  <c r="B46" i="17"/>
  <c r="D46" i="17" s="1"/>
  <c r="C45" i="17"/>
  <c r="B45" i="17"/>
  <c r="D45" i="17" s="1"/>
  <c r="C44" i="17"/>
  <c r="B44" i="17"/>
  <c r="D44" i="17" s="1"/>
  <c r="C43" i="17"/>
  <c r="B43" i="17"/>
  <c r="D43" i="17" s="1"/>
  <c r="C42" i="17"/>
  <c r="B42" i="17"/>
  <c r="D42" i="17" s="1"/>
  <c r="C41" i="17"/>
  <c r="B41" i="17"/>
  <c r="D41" i="17" s="1"/>
  <c r="C40" i="17"/>
  <c r="B40" i="17"/>
  <c r="D40" i="17" s="1"/>
  <c r="D39" i="17"/>
  <c r="C39" i="17"/>
  <c r="B39" i="17"/>
  <c r="H38" i="17"/>
  <c r="D38" i="17"/>
  <c r="C38" i="17"/>
  <c r="B38" i="17"/>
  <c r="H37" i="17"/>
  <c r="D37" i="17"/>
  <c r="C37" i="17"/>
  <c r="B37" i="17"/>
  <c r="H36" i="17"/>
  <c r="D36" i="17"/>
  <c r="C36" i="17"/>
  <c r="B36" i="17"/>
  <c r="H35" i="17"/>
  <c r="D35" i="17"/>
  <c r="C35" i="17"/>
  <c r="B35" i="17"/>
  <c r="H34" i="17"/>
  <c r="D34" i="17"/>
  <c r="C34" i="17"/>
  <c r="B34" i="17"/>
  <c r="H33" i="17"/>
  <c r="D33" i="17"/>
  <c r="C33" i="17"/>
  <c r="B33" i="17"/>
  <c r="H32" i="17"/>
  <c r="D32" i="17"/>
  <c r="C32" i="17"/>
  <c r="B32" i="17"/>
  <c r="H31" i="17"/>
  <c r="D31" i="17"/>
  <c r="C31" i="17"/>
  <c r="B31" i="17"/>
  <c r="H30" i="17"/>
  <c r="D30" i="17"/>
  <c r="C30" i="17"/>
  <c r="B30" i="17"/>
  <c r="B26" i="17"/>
  <c r="B43" i="15"/>
  <c r="B42" i="15"/>
  <c r="B38" i="15"/>
  <c r="B37" i="15"/>
  <c r="B22" i="15"/>
  <c r="B23" i="15" s="1"/>
  <c r="D15" i="15"/>
  <c r="C15" i="15"/>
  <c r="B15" i="15"/>
  <c r="D14" i="15"/>
  <c r="C14" i="15"/>
  <c r="B14" i="15"/>
  <c r="D13" i="15"/>
  <c r="C13" i="15"/>
  <c r="B13" i="15"/>
  <c r="D11" i="15"/>
  <c r="C11" i="15"/>
  <c r="B11" i="15"/>
  <c r="D37" i="14"/>
  <c r="E37" i="14" s="1"/>
  <c r="E36" i="14"/>
  <c r="D36" i="14"/>
  <c r="D35" i="14"/>
  <c r="E35" i="14" s="1"/>
  <c r="E16" i="14"/>
  <c r="B16" i="14"/>
  <c r="D14" i="14"/>
  <c r="E14" i="14" s="1"/>
  <c r="F14" i="14" s="1"/>
  <c r="G14" i="14" s="1"/>
  <c r="G16" i="14" s="1"/>
  <c r="C14" i="14"/>
  <c r="B14" i="14"/>
  <c r="D12" i="14"/>
  <c r="C12" i="14"/>
  <c r="B12" i="14"/>
  <c r="E11" i="13"/>
  <c r="E10" i="13"/>
  <c r="B15" i="10"/>
  <c r="D14" i="10"/>
  <c r="C14" i="10"/>
  <c r="B14" i="10"/>
  <c r="D12" i="10"/>
  <c r="C12" i="10"/>
  <c r="B12" i="10"/>
  <c r="D11" i="10"/>
  <c r="C11" i="10"/>
  <c r="B11" i="10"/>
  <c r="D27" i="7"/>
  <c r="C27" i="7"/>
  <c r="E26" i="7"/>
  <c r="E25" i="7"/>
  <c r="E27" i="7" s="1"/>
  <c r="C13" i="7"/>
  <c r="B13" i="7"/>
  <c r="B21" i="5"/>
  <c r="D20" i="5"/>
  <c r="D21" i="5" s="1"/>
  <c r="D19" i="5"/>
  <c r="C19" i="5"/>
  <c r="B19" i="5"/>
  <c r="D17" i="5"/>
  <c r="C17" i="5"/>
  <c r="B17" i="5"/>
  <c r="D16" i="5"/>
  <c r="C16" i="5"/>
  <c r="C20" i="5" s="1"/>
  <c r="C21" i="5" s="1"/>
  <c r="B16" i="5"/>
  <c r="B20" i="5" s="1"/>
  <c r="E19" i="4"/>
  <c r="E21" i="4" s="1"/>
  <c r="E17" i="4"/>
  <c r="E16" i="4"/>
  <c r="D16" i="4"/>
  <c r="D17" i="4" s="1"/>
  <c r="D19" i="4" s="1"/>
  <c r="D21" i="4" s="1"/>
  <c r="C16" i="4"/>
  <c r="C17" i="4" s="1"/>
  <c r="C19" i="4" s="1"/>
  <c r="C21" i="4" s="1"/>
  <c r="B16" i="4"/>
  <c r="B17" i="4" s="1"/>
  <c r="B19" i="4" s="1"/>
  <c r="B21" i="4" s="1"/>
  <c r="E37" i="3"/>
  <c r="D37" i="3"/>
  <c r="B37" i="3"/>
  <c r="B30" i="3"/>
  <c r="D16" i="3"/>
  <c r="B16" i="3"/>
  <c r="E15" i="3"/>
  <c r="E14" i="3"/>
  <c r="E13" i="3"/>
  <c r="E12" i="3"/>
  <c r="E11" i="3"/>
  <c r="E16" i="3" s="1"/>
  <c r="C21" i="2"/>
  <c r="B21" i="2"/>
  <c r="C15" i="2"/>
  <c r="B15" i="2"/>
  <c r="B21" i="14" l="1"/>
  <c r="B20" i="14"/>
  <c r="B22" i="14"/>
  <c r="C90" i="17"/>
  <c r="C89" i="17"/>
  <c r="E79" i="17"/>
  <c r="E77" i="17"/>
  <c r="E75" i="17"/>
  <c r="E73" i="17"/>
  <c r="E71" i="17"/>
  <c r="E69" i="17"/>
  <c r="E67" i="17"/>
  <c r="E30" i="17"/>
  <c r="E80" i="17"/>
  <c r="E78" i="17"/>
  <c r="E76" i="17"/>
  <c r="E74" i="17"/>
  <c r="E72" i="17"/>
  <c r="E70" i="17"/>
  <c r="E68" i="17"/>
  <c r="E66" i="17"/>
  <c r="E34" i="17"/>
  <c r="E38" i="17"/>
  <c r="C12" i="3"/>
  <c r="E31" i="17"/>
  <c r="E35" i="17"/>
  <c r="E39" i="17"/>
  <c r="C14" i="3"/>
  <c r="F30" i="17"/>
  <c r="G30" i="17" s="1"/>
  <c r="I30" i="17" s="1"/>
  <c r="C11" i="3"/>
  <c r="C16" i="3" s="1"/>
  <c r="C13" i="3"/>
  <c r="C15" i="3"/>
  <c r="B16" i="10"/>
  <c r="C16" i="14"/>
  <c r="F16" i="14"/>
  <c r="F31" i="17"/>
  <c r="G31" i="17" s="1"/>
  <c r="I31" i="17" s="1"/>
  <c r="E32" i="17"/>
  <c r="F35" i="17"/>
  <c r="G35" i="17" s="1"/>
  <c r="I35" i="17" s="1"/>
  <c r="E36" i="17"/>
  <c r="F39" i="17"/>
  <c r="G39" i="17" s="1"/>
  <c r="E41" i="17"/>
  <c r="F41" i="17" s="1"/>
  <c r="G41" i="17" s="1"/>
  <c r="I41" i="17" s="1"/>
  <c r="E43" i="17"/>
  <c r="F43" i="17" s="1"/>
  <c r="G43" i="17" s="1"/>
  <c r="I43" i="17" s="1"/>
  <c r="E45" i="17"/>
  <c r="F45" i="17" s="1"/>
  <c r="G45" i="17" s="1"/>
  <c r="I45" i="17" s="1"/>
  <c r="E47" i="17"/>
  <c r="F47" i="17" s="1"/>
  <c r="G47" i="17" s="1"/>
  <c r="I47" i="17" s="1"/>
  <c r="E49" i="17"/>
  <c r="F49" i="17" s="1"/>
  <c r="G49" i="17" s="1"/>
  <c r="I49" i="17" s="1"/>
  <c r="E51" i="17"/>
  <c r="F51" i="17" s="1"/>
  <c r="G51" i="17" s="1"/>
  <c r="I51" i="17" s="1"/>
  <c r="E53" i="17"/>
  <c r="E55" i="17"/>
  <c r="F55" i="17" s="1"/>
  <c r="G55" i="17" s="1"/>
  <c r="I55" i="17" s="1"/>
  <c r="E57" i="17"/>
  <c r="F57" i="17" s="1"/>
  <c r="G57" i="17" s="1"/>
  <c r="I57" i="17" s="1"/>
  <c r="E59" i="17"/>
  <c r="F59" i="17" s="1"/>
  <c r="G59" i="17" s="1"/>
  <c r="I59" i="17" s="1"/>
  <c r="E61" i="17"/>
  <c r="F61" i="17" s="1"/>
  <c r="G61" i="17" s="1"/>
  <c r="I61" i="17" s="1"/>
  <c r="E63" i="17"/>
  <c r="E65" i="17"/>
  <c r="F65" i="17" s="1"/>
  <c r="G65" i="17" s="1"/>
  <c r="I65" i="17" s="1"/>
  <c r="F34" i="17"/>
  <c r="G34" i="17" s="1"/>
  <c r="I34" i="17" s="1"/>
  <c r="F38" i="17"/>
  <c r="G38" i="17" s="1"/>
  <c r="I38" i="17" s="1"/>
  <c r="F53" i="17"/>
  <c r="G53" i="17" s="1"/>
  <c r="F63" i="17"/>
  <c r="G63" i="17" s="1"/>
  <c r="D16" i="14"/>
  <c r="B28" i="14"/>
  <c r="D28" i="14" s="1"/>
  <c r="F32" i="17"/>
  <c r="G32" i="17" s="1"/>
  <c r="I32" i="17" s="1"/>
  <c r="E33" i="17"/>
  <c r="F33" i="17" s="1"/>
  <c r="G33" i="17" s="1"/>
  <c r="I33" i="17" s="1"/>
  <c r="F36" i="17"/>
  <c r="G36" i="17" s="1"/>
  <c r="I36" i="17" s="1"/>
  <c r="E37" i="17"/>
  <c r="F37" i="17" s="1"/>
  <c r="G37" i="17" s="1"/>
  <c r="I37" i="17" s="1"/>
  <c r="E40" i="17"/>
  <c r="F40" i="17" s="1"/>
  <c r="G40" i="17" s="1"/>
  <c r="E42" i="17"/>
  <c r="F42" i="17" s="1"/>
  <c r="G42" i="17" s="1"/>
  <c r="E44" i="17"/>
  <c r="F44" i="17" s="1"/>
  <c r="G44" i="17" s="1"/>
  <c r="E46" i="17"/>
  <c r="F46" i="17" s="1"/>
  <c r="G46" i="17" s="1"/>
  <c r="E48" i="17"/>
  <c r="F48" i="17" s="1"/>
  <c r="G48" i="17" s="1"/>
  <c r="E50" i="17"/>
  <c r="F50" i="17" s="1"/>
  <c r="G50" i="17" s="1"/>
  <c r="E52" i="17"/>
  <c r="F52" i="17" s="1"/>
  <c r="G52" i="17" s="1"/>
  <c r="E54" i="17"/>
  <c r="F54" i="17" s="1"/>
  <c r="G54" i="17" s="1"/>
  <c r="E56" i="17"/>
  <c r="F56" i="17" s="1"/>
  <c r="G56" i="17" s="1"/>
  <c r="E58" i="17"/>
  <c r="F58" i="17" s="1"/>
  <c r="G58" i="17" s="1"/>
  <c r="E60" i="17"/>
  <c r="F60" i="17" s="1"/>
  <c r="G60" i="17" s="1"/>
  <c r="E62" i="17"/>
  <c r="F62" i="17" s="1"/>
  <c r="G62" i="17" s="1"/>
  <c r="E64" i="17"/>
  <c r="F64" i="17" s="1"/>
  <c r="G64" i="17" s="1"/>
  <c r="F66" i="17"/>
  <c r="G66" i="17" s="1"/>
  <c r="F68" i="17"/>
  <c r="G68" i="17" s="1"/>
  <c r="D67" i="17"/>
  <c r="F67" i="17" s="1"/>
  <c r="G67" i="17" s="1"/>
  <c r="D69" i="17"/>
  <c r="F69" i="17" s="1"/>
  <c r="G69" i="17" s="1"/>
  <c r="D71" i="17"/>
  <c r="F71" i="17" s="1"/>
  <c r="G71" i="17" s="1"/>
  <c r="D73" i="17"/>
  <c r="F73" i="17" s="1"/>
  <c r="G73" i="17" s="1"/>
  <c r="D75" i="17"/>
  <c r="F75" i="17" s="1"/>
  <c r="G75" i="17" s="1"/>
  <c r="D77" i="17"/>
  <c r="F77" i="17" s="1"/>
  <c r="G77" i="17" s="1"/>
  <c r="D79" i="17"/>
  <c r="F79" i="17" s="1"/>
  <c r="G79" i="17" s="1"/>
  <c r="D82" i="17"/>
  <c r="D84" i="17"/>
  <c r="H80" i="17"/>
  <c r="H79" i="17"/>
  <c r="H78" i="17"/>
  <c r="H77" i="17"/>
  <c r="H76" i="17"/>
  <c r="H75" i="17"/>
  <c r="H74" i="17"/>
  <c r="H73" i="17"/>
  <c r="H72" i="17"/>
  <c r="H71" i="17"/>
  <c r="H70" i="17"/>
  <c r="H69" i="17"/>
  <c r="H68" i="17"/>
  <c r="H67" i="17"/>
  <c r="H66" i="17"/>
  <c r="H65" i="17"/>
  <c r="H64" i="17"/>
  <c r="H63" i="17"/>
  <c r="H62" i="17"/>
  <c r="H61" i="17"/>
  <c r="H60" i="17"/>
  <c r="H59" i="17"/>
  <c r="H58" i="17"/>
  <c r="H57" i="17"/>
  <c r="H56" i="17"/>
  <c r="H55" i="17"/>
  <c r="H54" i="17"/>
  <c r="H53" i="17"/>
  <c r="H52" i="17"/>
  <c r="H51" i="17"/>
  <c r="H50" i="17"/>
  <c r="H49" i="17"/>
  <c r="H48" i="17"/>
  <c r="H47" i="17"/>
  <c r="H46" i="17"/>
  <c r="H45" i="17"/>
  <c r="H44" i="17"/>
  <c r="H43" i="17"/>
  <c r="H42" i="17"/>
  <c r="H41" i="17"/>
  <c r="H40" i="17"/>
  <c r="H39" i="17"/>
  <c r="D70" i="17"/>
  <c r="F70" i="17" s="1"/>
  <c r="G70" i="17" s="1"/>
  <c r="I70" i="17" s="1"/>
  <c r="D72" i="17"/>
  <c r="F72" i="17" s="1"/>
  <c r="G72" i="17" s="1"/>
  <c r="I72" i="17" s="1"/>
  <c r="D74" i="17"/>
  <c r="F74" i="17" s="1"/>
  <c r="G74" i="17" s="1"/>
  <c r="I74" i="17" s="1"/>
  <c r="D76" i="17"/>
  <c r="F76" i="17" s="1"/>
  <c r="G76" i="17" s="1"/>
  <c r="I76" i="17" s="1"/>
  <c r="D78" i="17"/>
  <c r="F78" i="17" s="1"/>
  <c r="G78" i="17" s="1"/>
  <c r="I78" i="17" s="1"/>
  <c r="D80" i="17"/>
  <c r="F80" i="17" s="1"/>
  <c r="G80" i="17" s="1"/>
  <c r="I80" i="17" s="1"/>
  <c r="D83" i="17"/>
  <c r="I75" i="17" l="1"/>
  <c r="I67" i="17"/>
  <c r="I62" i="17"/>
  <c r="I54" i="17"/>
  <c r="I46" i="17"/>
  <c r="I53" i="17"/>
  <c r="I73" i="17"/>
  <c r="I68" i="17"/>
  <c r="I60" i="17"/>
  <c r="I52" i="17"/>
  <c r="I44" i="17"/>
  <c r="D10" i="15"/>
  <c r="F37" i="14"/>
  <c r="G37" i="14" s="1"/>
  <c r="E22" i="14"/>
  <c r="I79" i="17"/>
  <c r="I71" i="17"/>
  <c r="I66" i="17"/>
  <c r="I58" i="17"/>
  <c r="I50" i="17"/>
  <c r="I42" i="17"/>
  <c r="I63" i="17"/>
  <c r="I39" i="17"/>
  <c r="F35" i="14"/>
  <c r="G35" i="14" s="1"/>
  <c r="B10" i="15"/>
  <c r="E20" i="14"/>
  <c r="I77" i="17"/>
  <c r="I69" i="17"/>
  <c r="I64" i="17"/>
  <c r="I56" i="17"/>
  <c r="I48" i="17"/>
  <c r="I40" i="17"/>
  <c r="F36" i="14"/>
  <c r="G36" i="14" s="1"/>
  <c r="E21" i="14"/>
  <c r="C10" i="15"/>
  <c r="G22" i="14" l="1"/>
  <c r="D19" i="15"/>
  <c r="G21" i="14"/>
  <c r="C19" i="15"/>
  <c r="B19" i="15"/>
  <c r="G20" i="14"/>
  <c r="B40" i="15" l="1"/>
  <c r="C20" i="15"/>
  <c r="B20" i="15"/>
  <c r="B39" i="15"/>
  <c r="E28" i="14"/>
  <c r="F28" i="14" s="1"/>
  <c r="B41" i="15"/>
  <c r="D20"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Unknown Author</author>
  </authors>
  <commentList>
    <comment ref="B13" authorId="0" shapeId="0" xr:uid="{00000000-0006-0000-0000-000001000000}">
      <text>
        <r>
          <rPr>
            <sz val="10"/>
            <rFont val="Arial"/>
            <family val="2"/>
          </rPr>
          <t>Source: Lines 50, 1630 | Cover &amp; Definitions</t>
        </r>
      </text>
    </comment>
    <comment ref="B14" authorId="0" shapeId="0" xr:uid="{00000000-0006-0000-0000-000002000000}">
      <text>
        <r>
          <rPr>
            <sz val="10"/>
            <rFont val="Arial"/>
            <family val="2"/>
          </rPr>
          <t>Source: Lines 48, 1850 | Cover &amp; Definitions</t>
        </r>
      </text>
    </comment>
    <comment ref="B15" authorId="0" shapeId="0" xr:uid="{00000000-0006-0000-0000-000003000000}">
      <text>
        <r>
          <rPr>
            <sz val="10"/>
            <rFont val="Arial"/>
            <family val="2"/>
          </rPr>
          <t>Source: Lines 154, 1838 | Definitions &amp; Summary</t>
        </r>
      </text>
    </comment>
    <comment ref="B16" authorId="0" shapeId="0" xr:uid="{00000000-0006-0000-0000-000004000000}">
      <text>
        <r>
          <rPr>
            <sz val="10"/>
            <rFont val="Arial"/>
            <family val="2"/>
          </rPr>
          <t>Source: Lines 1-5 | SEC Filing Title</t>
        </r>
      </text>
    </comment>
    <comment ref="B17" authorId="0" shapeId="0" xr:uid="{00000000-0006-0000-0000-000005000000}">
      <text>
        <r>
          <rPr>
            <sz val="10"/>
            <rFont val="Arial"/>
            <family val="2"/>
          </rPr>
          <t>Source: Line 1 | Filing Header</t>
        </r>
      </text>
    </comment>
    <comment ref="B18" authorId="0" shapeId="0" xr:uid="{00000000-0006-0000-0000-000006000000}">
      <text>
        <r>
          <rPr>
            <sz val="10"/>
            <rFont val="Arial"/>
            <family val="2"/>
          </rPr>
          <t>Source: Line 1 | Filing Header</t>
        </r>
      </text>
    </comment>
    <comment ref="B19" authorId="0" shapeId="0" xr:uid="{00000000-0006-0000-0000-000007000000}">
      <text>
        <r>
          <rPr>
            <sz val="10"/>
            <rFont val="Arial"/>
            <family val="2"/>
          </rPr>
          <t>Source: Lines 54-58 | Cover Page</t>
        </r>
      </text>
    </comment>
    <comment ref="B20" authorId="0" shapeId="0" xr:uid="{00000000-0006-0000-0000-000008000000}">
      <text>
        <r>
          <rPr>
            <sz val="10"/>
            <rFont val="Arial"/>
            <family val="2"/>
          </rPr>
          <t>Source: Lines 154, 1838 | Summary &amp; Definitions</t>
        </r>
      </text>
    </comment>
    <comment ref="B21" authorId="0" shapeId="0" xr:uid="{00000000-0006-0000-0000-000009000000}">
      <text>
        <r>
          <rPr>
            <sz val="10"/>
            <rFont val="Arial"/>
            <family val="2"/>
          </rPr>
          <t>Source: Lines 502, 1807 | Selected Definitions</t>
        </r>
      </text>
    </comment>
    <comment ref="B25" authorId="0" shapeId="0" xr:uid="{00000000-0006-0000-0000-00000A000000}">
      <text>
        <r>
          <rPr>
            <sz val="10"/>
            <rFont val="Arial"/>
            <family val="2"/>
          </rPr>
          <t>Source: Lines 1636-1637 | Selected Definitions</t>
        </r>
      </text>
    </comment>
    <comment ref="B26" authorId="0" shapeId="0" xr:uid="{00000000-0006-0000-0000-00000B000000}">
      <text>
        <r>
          <rPr>
            <sz val="10"/>
            <rFont val="Arial"/>
            <family val="2"/>
          </rPr>
          <t>Source: Lines 2700, 5773, 15641 | BCA Terms</t>
        </r>
      </text>
    </comment>
    <comment ref="B27" authorId="0" shapeId="0" xr:uid="{00000000-0006-0000-0000-00000C000000}">
      <text>
        <r>
          <rPr>
            <sz val="10"/>
            <rFont val="Arial"/>
            <family val="2"/>
          </rPr>
          <t>Source: Line 14870 | BCA Termination Section</t>
        </r>
      </text>
    </comment>
    <comment ref="B28" authorId="0" shapeId="0" xr:uid="{00000000-0006-0000-0000-00000D000000}">
      <text>
        <r>
          <rPr>
            <sz val="10"/>
            <rFont val="Arial"/>
            <family val="2"/>
          </rPr>
          <t>Source: Lines 2758-2784, 5789 | Summary Notes</t>
        </r>
      </text>
    </comment>
    <comment ref="B33" authorId="0" shapeId="0" xr:uid="{00000000-0006-0000-0000-00000E000000}">
      <text>
        <r>
          <rPr>
            <sz val="10"/>
            <rFont val="Arial"/>
            <family val="2"/>
          </rPr>
          <t>Source: Lines 60, 15561 | Summary &amp; Background</t>
        </r>
      </text>
    </comment>
    <comment ref="B34" authorId="0" shapeId="0" xr:uid="{00000000-0006-0000-0000-00000F000000}">
      <text>
        <r>
          <rPr>
            <sz val="10"/>
            <rFont val="Arial"/>
            <family val="2"/>
          </rPr>
          <t>Source: Lines 64, 15652 | Summary &amp; Background</t>
        </r>
      </text>
    </comment>
    <comment ref="B35" authorId="0" shapeId="0" xr:uid="{00000000-0006-0000-0000-000010000000}">
      <text>
        <r>
          <rPr>
            <sz val="10"/>
            <rFont val="Arial"/>
            <family val="2"/>
          </rPr>
          <t>Source: Lines 15365, 15519 | Background of Combination</t>
        </r>
      </text>
    </comment>
    <comment ref="B36" authorId="0" shapeId="0" xr:uid="{00000000-0006-0000-0000-000011000000}">
      <text>
        <r>
          <rPr>
            <sz val="10"/>
            <rFont val="Arial"/>
            <family val="2"/>
          </rPr>
          <t>Source: Line 15577 | Background of Combination</t>
        </r>
      </text>
    </comment>
    <comment ref="B37" authorId="0" shapeId="0" xr:uid="{00000000-0006-0000-0000-000012000000}">
      <text>
        <r>
          <rPr>
            <sz val="10"/>
            <rFont val="Arial"/>
            <family val="2"/>
          </rPr>
          <t>Source: Line 15732 | Background of Combination</t>
        </r>
      </text>
    </comment>
    <comment ref="B38" authorId="0" shapeId="0" xr:uid="{00000000-0006-0000-0000-000013000000}">
      <text>
        <r>
          <rPr>
            <sz val="10"/>
            <rFont val="Arial"/>
            <family val="2"/>
          </rPr>
          <t>Source: Line 15746 | Background of Combination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Unknown Author</author>
  </authors>
  <commentList>
    <comment ref="B11" authorId="0" shapeId="0" xr:uid="{00000000-0006-0000-0100-000001000000}">
      <text>
        <r>
          <rPr>
            <sz val="10"/>
            <rFont val="Arial"/>
            <family val="2"/>
          </rPr>
          <t>Source: Line 3267, 15364 ($402.5M in Trust Account)</t>
        </r>
      </text>
    </comment>
    <comment ref="C11" authorId="0" shapeId="0" xr:uid="{00000000-0006-0000-0100-000011000000}">
      <text>
        <r>
          <rPr>
            <sz val="10"/>
            <rFont val="Arial"/>
            <family val="2"/>
          </rPr>
          <t>Source: Line 2743 (11,959,900 public shares remaining * $10.00 after $282.9M redemption)</t>
        </r>
      </text>
    </comment>
    <comment ref="B12" authorId="0" shapeId="0" xr:uid="{00000000-0006-0000-0100-000002000000}">
      <text>
        <r>
          <rPr>
            <sz val="10"/>
            <rFont val="Arial"/>
            <family val="2"/>
          </rPr>
          <t>Source: Lines 371, 2660, 4036 ($165M PIPE Financing)</t>
        </r>
      </text>
    </comment>
    <comment ref="C12" authorId="0" shapeId="0" xr:uid="{00000000-0006-0000-0100-000012000000}">
      <text>
        <r>
          <rPr>
            <sz val="10"/>
            <rFont val="Arial"/>
            <family val="2"/>
          </rPr>
          <t>Source: Lines 371, 2660, 4036 ($165M PIPE Financing)</t>
        </r>
      </text>
    </comment>
    <comment ref="B13" authorId="0" shapeId="0" xr:uid="{00000000-0006-0000-0100-000003000000}">
      <text>
        <r>
          <rPr>
            <sz val="10"/>
            <rFont val="Arial"/>
            <family val="2"/>
          </rPr>
          <t>Source: Lines 440, 2661, 2750 ($55M Convertible Notes)</t>
        </r>
      </text>
    </comment>
    <comment ref="C13" authorId="0" shapeId="0" xr:uid="{00000000-0006-0000-0100-000013000000}">
      <text>
        <r>
          <rPr>
            <sz val="10"/>
            <rFont val="Arial"/>
            <family val="2"/>
          </rPr>
          <t>Source: Lines 440, 2661, 2750 ($55M Convertible Notes)</t>
        </r>
      </text>
    </comment>
    <comment ref="B14" authorId="0" shapeId="0" xr:uid="{00000000-0006-0000-0100-000004000000}">
      <text>
        <r>
          <rPr>
            <sz val="10"/>
            <rFont val="Arial"/>
            <family val="2"/>
          </rPr>
          <t>Source: Lines 360, 1384, 1637 ($1.5B implied equity value)</t>
        </r>
      </text>
    </comment>
    <comment ref="C14" authorId="0" shapeId="0" xr:uid="{00000000-0006-0000-0100-000014000000}">
      <text>
        <r>
          <rPr>
            <sz val="10"/>
            <rFont val="Arial"/>
            <family val="2"/>
          </rPr>
          <t>Source: Lines 360, 1384, 1637 ($1.5B implied equity value)</t>
        </r>
      </text>
    </comment>
    <comment ref="B17" authorId="0" shapeId="0" xr:uid="{00000000-0006-0000-0100-000005000000}">
      <text>
        <r>
          <rPr>
            <sz val="10"/>
            <rFont val="Arial"/>
            <family val="2"/>
          </rPr>
          <t>Source: Line 2739 (140,835,687 shares * $10.00/sh net of $91.6M cash election)</t>
        </r>
      </text>
    </comment>
    <comment ref="C17" authorId="0" shapeId="0" xr:uid="{00000000-0006-0000-0100-000015000000}">
      <text>
        <r>
          <rPr>
            <sz val="10"/>
            <rFont val="Arial"/>
            <family val="2"/>
          </rPr>
          <t>Source: Line 2739 (150,000,000 shares * $10.00/sh assuming $0 cash election)</t>
        </r>
      </text>
    </comment>
    <comment ref="B18" authorId="0" shapeId="0" xr:uid="{00000000-0006-0000-0100-000006000000}">
      <text>
        <r>
          <rPr>
            <sz val="10"/>
            <rFont val="Arial"/>
            <family val="2"/>
          </rPr>
          <t>Source: Lines 2711, 2764, 5789 ($91.6M cash payment under No Redemption)</t>
        </r>
      </text>
    </comment>
    <comment ref="C18" authorId="0" shapeId="0" xr:uid="{00000000-0006-0000-0100-000016000000}">
      <text>
        <r>
          <rPr>
            <sz val="10"/>
            <rFont val="Arial"/>
            <family val="2"/>
          </rPr>
          <t>Source: Lines 2713, 5790 ($0 cash payment under Max Redemption)</t>
        </r>
      </text>
    </comment>
    <comment ref="B19" authorId="0" shapeId="0" xr:uid="{00000000-0006-0000-0100-000007000000}">
      <text>
        <r>
          <rPr>
            <sz val="10"/>
            <rFont val="Arial"/>
            <family val="2"/>
          </rPr>
          <t>Source: Line 2679 ($0 redemptions)</t>
        </r>
      </text>
    </comment>
    <comment ref="C19" authorId="0" shapeId="0" xr:uid="{00000000-0006-0000-0100-000017000000}">
      <text>
        <r>
          <rPr>
            <sz val="10"/>
            <rFont val="Arial"/>
            <family val="2"/>
          </rPr>
          <t>Source: Lines 2693, 5770-5772 (28,290,100 shares redeemed at $10.00/sh = $282.9M)</t>
        </r>
      </text>
    </comment>
    <comment ref="B20" authorId="0" shapeId="0" xr:uid="{00000000-0006-0000-0100-000008000000}">
      <text>
        <r>
          <rPr>
            <sz val="10"/>
            <rFont val="Arial"/>
            <family val="2"/>
          </rPr>
          <t>Source: Line 1414 (50,312,500 Pioneer shares * $10.00/sh)</t>
        </r>
      </text>
    </comment>
    <comment ref="C20" authorId="0" shapeId="0" xr:uid="{00000000-0006-0000-0100-000018000000}">
      <text>
        <r>
          <rPr>
            <sz val="10"/>
            <rFont val="Arial"/>
            <family val="2"/>
          </rPr>
          <t>Source: Lines 2740, 2743 ((10,062,500 Sponsor + 11,959,900 Public) * $10.00)</t>
        </r>
      </text>
    </comment>
    <comment ref="B26" authorId="0" shapeId="0" xr:uid="{00000000-0006-0000-0100-000009000000}">
      <text>
        <r>
          <rPr>
            <sz val="10"/>
            <rFont val="Arial"/>
            <family val="2"/>
          </rPr>
          <t>Source: Lines 1636-1637 | Selected Definitions</t>
        </r>
      </text>
    </comment>
    <comment ref="B27" authorId="0" shapeId="0" xr:uid="{00000000-0006-0000-0100-00000A000000}">
      <text>
        <r>
          <rPr>
            <sz val="10"/>
            <rFont val="Arial"/>
            <family val="2"/>
          </rPr>
          <t>Source: Lines 2700, 5773, 15641 | Conditions to Closing</t>
        </r>
      </text>
    </comment>
    <comment ref="B28" authorId="0" shapeId="0" xr:uid="{00000000-0006-0000-0100-00000B000000}">
      <text>
        <r>
          <rPr>
            <sz val="10"/>
            <rFont val="Arial"/>
            <family val="2"/>
          </rPr>
          <t>Source: Lines 2693, 5770-5772 | Redemptions</t>
        </r>
      </text>
    </comment>
    <comment ref="B29" authorId="0" shapeId="0" xr:uid="{00000000-0006-0000-0100-00000C000000}">
      <text>
        <r>
          <rPr>
            <sz val="10"/>
            <rFont val="Arial"/>
            <family val="2"/>
          </rPr>
          <t>Source: Lines 2693, 5770-5772 | Redemptions</t>
        </r>
      </text>
    </comment>
    <comment ref="B30" authorId="0" shapeId="0" xr:uid="{00000000-0006-0000-0100-00000D000000}">
      <text>
        <r>
          <rPr>
            <sz val="10"/>
            <rFont val="Arial"/>
            <family val="2"/>
          </rPr>
          <t>Source: Line 2699 | Conditions to Closing</t>
        </r>
      </text>
    </comment>
    <comment ref="B31" authorId="0" shapeId="0" xr:uid="{00000000-0006-0000-0100-00000E000000}">
      <text>
        <r>
          <rPr>
            <sz val="10"/>
            <rFont val="Arial"/>
            <family val="2"/>
          </rPr>
          <t>Source: Line 14870 | BCA Termination Section</t>
        </r>
      </text>
    </comment>
    <comment ref="B32" authorId="0" shapeId="0" xr:uid="{00000000-0006-0000-0100-00000F000000}">
      <text>
        <r>
          <rPr>
            <sz val="10"/>
            <rFont val="Arial"/>
            <family val="2"/>
          </rPr>
          <t>Source: Lines 2760, 2784 | Notes</t>
        </r>
      </text>
    </comment>
    <comment ref="B33" authorId="0" shapeId="0" xr:uid="{00000000-0006-0000-0100-000010000000}">
      <text>
        <r>
          <rPr>
            <sz val="10"/>
            <rFont val="Arial"/>
            <family val="2"/>
          </rPr>
          <t>Source: Lines 2764, 5789 | Notes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Unknown Author</author>
  </authors>
  <commentList>
    <comment ref="B11" authorId="0" shapeId="0" xr:uid="{00000000-0006-0000-0200-000001000000}">
      <text>
        <r>
          <rPr>
            <sz val="10"/>
            <rFont val="Arial"/>
            <family val="2"/>
          </rPr>
          <t>Source: Lines 2739, 11795 | Ownership Table</t>
        </r>
      </text>
    </comment>
    <comment ref="D11" authorId="0" shapeId="0" xr:uid="{00000000-0006-0000-0200-00000F000000}">
      <text>
        <r>
          <rPr>
            <sz val="10"/>
            <rFont val="Arial"/>
            <family val="2"/>
          </rPr>
          <t>Source: Lines 2739, 11795 | Ownership Table</t>
        </r>
      </text>
    </comment>
    <comment ref="B12" authorId="0" shapeId="0" xr:uid="{00000000-0006-0000-0200-000002000000}">
      <text>
        <r>
          <rPr>
            <sz val="10"/>
            <rFont val="Arial"/>
            <family val="2"/>
          </rPr>
          <t>Source: Lines 2740, 11795 | Ownership Table</t>
        </r>
      </text>
    </comment>
    <comment ref="D12" authorId="0" shapeId="0" xr:uid="{00000000-0006-0000-0200-000010000000}">
      <text>
        <r>
          <rPr>
            <sz val="10"/>
            <rFont val="Arial"/>
            <family val="2"/>
          </rPr>
          <t>Source: Lines 2740, 11795 | Ownership Table</t>
        </r>
      </text>
    </comment>
    <comment ref="B13" authorId="0" shapeId="0" xr:uid="{00000000-0006-0000-0200-000003000000}">
      <text>
        <r>
          <rPr>
            <sz val="10"/>
            <rFont val="Arial"/>
            <family val="2"/>
          </rPr>
          <t>Source: Lines 2741, 11795 | Ownership Table</t>
        </r>
      </text>
    </comment>
    <comment ref="D13" authorId="0" shapeId="0" xr:uid="{00000000-0006-0000-0200-000011000000}">
      <text>
        <r>
          <rPr>
            <sz val="10"/>
            <rFont val="Arial"/>
            <family val="2"/>
          </rPr>
          <t>Source: Lines 2741, 11795 | Ownership Table</t>
        </r>
      </text>
    </comment>
    <comment ref="B14" authorId="0" shapeId="0" xr:uid="{00000000-0006-0000-0200-000004000000}">
      <text>
        <r>
          <rPr>
            <sz val="10"/>
            <rFont val="Arial"/>
            <family val="2"/>
          </rPr>
          <t>Source: Lines 2742, 11795 | Ownership Table</t>
        </r>
      </text>
    </comment>
    <comment ref="D14" authorId="0" shapeId="0" xr:uid="{00000000-0006-0000-0200-000012000000}">
      <text>
        <r>
          <rPr>
            <sz val="10"/>
            <rFont val="Arial"/>
            <family val="2"/>
          </rPr>
          <t>Source: Lines 2742, 11795 | Ownership Table</t>
        </r>
      </text>
    </comment>
    <comment ref="B15" authorId="0" shapeId="0" xr:uid="{00000000-0006-0000-0200-000005000000}">
      <text>
        <r>
          <rPr>
            <sz val="10"/>
            <rFont val="Arial"/>
            <family val="2"/>
          </rPr>
          <t>Source: Lines 2743, 11795 | Ownership Table</t>
        </r>
      </text>
    </comment>
    <comment ref="D15" authorId="0" shapeId="0" xr:uid="{00000000-0006-0000-0200-000013000000}">
      <text>
        <r>
          <rPr>
            <sz val="10"/>
            <rFont val="Arial"/>
            <family val="2"/>
          </rPr>
          <t>Source: Lines 2743, 11795 | Ownership Table</t>
        </r>
      </text>
    </comment>
    <comment ref="B21" authorId="0" shapeId="0" xr:uid="{00000000-0006-0000-0200-000006000000}">
      <text>
        <r>
          <rPr>
            <sz val="10"/>
            <rFont val="Arial"/>
            <family val="2"/>
          </rPr>
          <t>Source: Lines 154, 1400, 2021, 5706 | Fee Table &amp; Summary</t>
        </r>
      </text>
    </comment>
    <comment ref="B22" authorId="0" shapeId="0" xr:uid="{00000000-0006-0000-0200-000007000000}">
      <text>
        <r>
          <rPr>
            <sz val="10"/>
            <rFont val="Arial"/>
            <family val="2"/>
          </rPr>
          <t>Source: Lines 2708, 2739, 11795 | Ownership Table</t>
        </r>
      </text>
    </comment>
    <comment ref="B23" authorId="0" shapeId="0" xr:uid="{00000000-0006-0000-0200-000008000000}">
      <text>
        <r>
          <rPr>
            <sz val="10"/>
            <rFont val="Arial"/>
            <family val="2"/>
          </rPr>
          <t>Source: Lines 2714, 2739, 11795 | Ownership Table</t>
        </r>
      </text>
    </comment>
    <comment ref="B27" authorId="0" shapeId="0" xr:uid="{00000000-0006-0000-0200-000009000000}">
      <text>
        <r>
          <rPr>
            <sz val="10"/>
            <rFont val="Arial"/>
            <family val="2"/>
          </rPr>
          <t>Source: Lines 140, 170, 181 | Fee Table</t>
        </r>
      </text>
    </comment>
    <comment ref="B28" authorId="0" shapeId="0" xr:uid="{00000000-0006-0000-0200-00000A000000}">
      <text>
        <r>
          <rPr>
            <sz val="10"/>
            <rFont val="Arial"/>
            <family val="2"/>
          </rPr>
          <t>Source: Lines 140, 170, 181, 15634 | Fee Table</t>
        </r>
      </text>
    </comment>
    <comment ref="B29" authorId="0" shapeId="0" xr:uid="{00000000-0006-0000-0200-00000B000000}">
      <text>
        <r>
          <rPr>
            <sz val="10"/>
            <rFont val="Arial"/>
            <family val="2"/>
          </rPr>
          <t>Source: Lines 159, 182 | Fee Table</t>
        </r>
      </text>
    </comment>
    <comment ref="B34" authorId="0" shapeId="0" xr:uid="{00000000-0006-0000-0200-00000C000000}">
      <text>
        <r>
          <rPr>
            <sz val="10"/>
            <rFont val="Arial"/>
            <family val="2"/>
          </rPr>
          <t>Source: Lines 139, 146-163 | Fee Table Footnote (1)</t>
        </r>
      </text>
    </comment>
    <comment ref="B35" authorId="0" shapeId="0" xr:uid="{00000000-0006-0000-0200-00000D000000}">
      <text>
        <r>
          <rPr>
            <sz val="10"/>
            <rFont val="Arial"/>
            <family val="2"/>
          </rPr>
          <t>Source: Lines 140, 167-175 | Fee Table Footnote (2)</t>
        </r>
      </text>
    </comment>
    <comment ref="B36" authorId="0" shapeId="0" xr:uid="{00000000-0006-0000-0200-00000E000000}">
      <text>
        <r>
          <rPr>
            <sz val="10"/>
            <rFont val="Arial"/>
            <family val="2"/>
          </rPr>
          <t>Source: Lines 141, 178-183 | Fee Table Footnote (3)</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Unknown Author</author>
  </authors>
  <commentList>
    <comment ref="B11" authorId="0" shapeId="0" xr:uid="{00000000-0006-0000-0300-000001000000}">
      <text>
        <r>
          <rPr>
            <sz val="10"/>
            <rFont val="Arial"/>
            <family val="2"/>
          </rPr>
          <t>Source: Lines 30844, 32446 | Operations Statement</t>
        </r>
      </text>
    </comment>
    <comment ref="C11" authorId="0" shapeId="0" xr:uid="{00000000-0006-0000-0300-00000E000000}">
      <text>
        <r>
          <rPr>
            <sz val="10"/>
            <rFont val="Arial"/>
            <family val="2"/>
          </rPr>
          <t>Source: Lines 30844, 32446 | Operations Statement</t>
        </r>
      </text>
    </comment>
    <comment ref="D11" authorId="0" shapeId="0" xr:uid="{00000000-0006-0000-0300-00001B000000}">
      <text>
        <r>
          <rPr>
            <sz val="10"/>
            <rFont val="Arial"/>
            <family val="2"/>
          </rPr>
          <t>Source: Lines 30844, 32446 | Operations Statement</t>
        </r>
      </text>
    </comment>
    <comment ref="E11" authorId="0" shapeId="0" xr:uid="{00000000-0006-0000-0300-000028000000}">
      <text>
        <r>
          <rPr>
            <sz val="10"/>
            <rFont val="Arial"/>
            <family val="2"/>
          </rPr>
          <t>Source: Lines 30844, 32446 | Operations Statement</t>
        </r>
      </text>
    </comment>
    <comment ref="B12" authorId="0" shapeId="0" xr:uid="{00000000-0006-0000-0300-000002000000}">
      <text>
        <r>
          <rPr>
            <sz val="10"/>
            <rFont val="Arial"/>
            <family val="2"/>
          </rPr>
          <t>Source: Lines 30847, 32449 | Operations Statement</t>
        </r>
      </text>
    </comment>
    <comment ref="C12" authorId="0" shapeId="0" xr:uid="{00000000-0006-0000-0300-00000F000000}">
      <text>
        <r>
          <rPr>
            <sz val="10"/>
            <rFont val="Arial"/>
            <family val="2"/>
          </rPr>
          <t>Source: Lines 30847, 32449 | Operations Statement</t>
        </r>
      </text>
    </comment>
    <comment ref="D12" authorId="0" shapeId="0" xr:uid="{00000000-0006-0000-0300-00001C000000}">
      <text>
        <r>
          <rPr>
            <sz val="10"/>
            <rFont val="Arial"/>
            <family val="2"/>
          </rPr>
          <t>Source: Lines 30847, 32449 | Operations Statement</t>
        </r>
      </text>
    </comment>
    <comment ref="E12" authorId="0" shapeId="0" xr:uid="{00000000-0006-0000-0300-000029000000}">
      <text>
        <r>
          <rPr>
            <sz val="10"/>
            <rFont val="Arial"/>
            <family val="2"/>
          </rPr>
          <t>Source: Lines 30847, 32449 | Operations Statement</t>
        </r>
      </text>
    </comment>
    <comment ref="B13" authorId="0" shapeId="0" xr:uid="{00000000-0006-0000-0300-000003000000}">
      <text>
        <r>
          <rPr>
            <sz val="10"/>
            <rFont val="Arial"/>
            <family val="2"/>
          </rPr>
          <t>Source: Lines 30848, 32450 | Operations Statement</t>
        </r>
      </text>
    </comment>
    <comment ref="C13" authorId="0" shapeId="0" xr:uid="{00000000-0006-0000-0300-000010000000}">
      <text>
        <r>
          <rPr>
            <sz val="10"/>
            <rFont val="Arial"/>
            <family val="2"/>
          </rPr>
          <t>Source: Lines 30848, 32450 | Operations Statement</t>
        </r>
      </text>
    </comment>
    <comment ref="D13" authorId="0" shapeId="0" xr:uid="{00000000-0006-0000-0300-00001D000000}">
      <text>
        <r>
          <rPr>
            <sz val="10"/>
            <rFont val="Arial"/>
            <family val="2"/>
          </rPr>
          <t>Source: Lines 30848, 32450 | Operations Statement</t>
        </r>
      </text>
    </comment>
    <comment ref="E13" authorId="0" shapeId="0" xr:uid="{00000000-0006-0000-0300-00002A000000}">
      <text>
        <r>
          <rPr>
            <sz val="10"/>
            <rFont val="Arial"/>
            <family val="2"/>
          </rPr>
          <t>Source: Lines 30848, 32450 | Operations Statement</t>
        </r>
      </text>
    </comment>
    <comment ref="B14" authorId="0" shapeId="0" xr:uid="{00000000-0006-0000-0300-000004000000}">
      <text>
        <r>
          <rPr>
            <sz val="10"/>
            <rFont val="Arial"/>
            <family val="2"/>
          </rPr>
          <t>Source: Lines 30849, 32451 | Operations Statement</t>
        </r>
      </text>
    </comment>
    <comment ref="C14" authorId="0" shapeId="0" xr:uid="{00000000-0006-0000-0300-000011000000}">
      <text>
        <r>
          <rPr>
            <sz val="10"/>
            <rFont val="Arial"/>
            <family val="2"/>
          </rPr>
          <t>Source: Lines 30849, 32451 | Operations Statement</t>
        </r>
      </text>
    </comment>
    <comment ref="D14" authorId="0" shapeId="0" xr:uid="{00000000-0006-0000-0300-00001E000000}">
      <text>
        <r>
          <rPr>
            <sz val="10"/>
            <rFont val="Arial"/>
            <family val="2"/>
          </rPr>
          <t>Source: Lines 30849, 32451 | Operations Statement</t>
        </r>
      </text>
    </comment>
    <comment ref="E14" authorId="0" shapeId="0" xr:uid="{00000000-0006-0000-0300-00002B000000}">
      <text>
        <r>
          <rPr>
            <sz val="10"/>
            <rFont val="Arial"/>
            <family val="2"/>
          </rPr>
          <t>Source: Lines 30849, 32451 | Operations Statement</t>
        </r>
      </text>
    </comment>
    <comment ref="B15" authorId="0" shapeId="0" xr:uid="{00000000-0006-0000-0300-000005000000}">
      <text>
        <r>
          <rPr>
            <sz val="10"/>
            <rFont val="Arial"/>
            <family val="2"/>
          </rPr>
          <t>Source: Lines 30850, 32452 | Operations Statement</t>
        </r>
      </text>
    </comment>
    <comment ref="C15" authorId="0" shapeId="0" xr:uid="{00000000-0006-0000-0300-000012000000}">
      <text>
        <r>
          <rPr>
            <sz val="10"/>
            <rFont val="Arial"/>
            <family val="2"/>
          </rPr>
          <t>Source: Lines 30850, 32452 | Operations Statement</t>
        </r>
      </text>
    </comment>
    <comment ref="D15" authorId="0" shapeId="0" xr:uid="{00000000-0006-0000-0300-00001F000000}">
      <text>
        <r>
          <rPr>
            <sz val="10"/>
            <rFont val="Arial"/>
            <family val="2"/>
          </rPr>
          <t>Source: Lines 30850, 32452 | Operations Statement</t>
        </r>
      </text>
    </comment>
    <comment ref="E15" authorId="0" shapeId="0" xr:uid="{00000000-0006-0000-0300-00002C000000}">
      <text>
        <r>
          <rPr>
            <sz val="10"/>
            <rFont val="Arial"/>
            <family val="2"/>
          </rPr>
          <t>Source: Lines 30850, 32452 | Operations Statement</t>
        </r>
      </text>
    </comment>
    <comment ref="B18" authorId="0" shapeId="0" xr:uid="{00000000-0006-0000-0300-000006000000}">
      <text>
        <r>
          <rPr>
            <sz val="10"/>
            <rFont val="Arial"/>
            <family val="2"/>
          </rPr>
          <t>Source: Lines 30856, 32458 | Operations Statement</t>
        </r>
      </text>
    </comment>
    <comment ref="C18" authorId="0" shapeId="0" xr:uid="{00000000-0006-0000-0300-000013000000}">
      <text>
        <r>
          <rPr>
            <sz val="10"/>
            <rFont val="Arial"/>
            <family val="2"/>
          </rPr>
          <t>Source: Lines 30856, 32458 | Operations Statement</t>
        </r>
      </text>
    </comment>
    <comment ref="D18" authorId="0" shapeId="0" xr:uid="{00000000-0006-0000-0300-000020000000}">
      <text>
        <r>
          <rPr>
            <sz val="10"/>
            <rFont val="Arial"/>
            <family val="2"/>
          </rPr>
          <t>Source: Lines 30856, 32458 | Operations Statement</t>
        </r>
      </text>
    </comment>
    <comment ref="E18" authorId="0" shapeId="0" xr:uid="{00000000-0006-0000-0300-00002D000000}">
      <text>
        <r>
          <rPr>
            <sz val="10"/>
            <rFont val="Arial"/>
            <family val="2"/>
          </rPr>
          <t>Source: Lines 30856, 32458 | Operations Statement</t>
        </r>
      </text>
    </comment>
    <comment ref="B20" authorId="0" shapeId="0" xr:uid="{00000000-0006-0000-0300-000007000000}">
      <text>
        <r>
          <rPr>
            <sz val="10"/>
            <rFont val="Arial"/>
            <family val="2"/>
          </rPr>
          <t>Source: Lines 30861, 32463</t>
        </r>
      </text>
    </comment>
    <comment ref="C20" authorId="0" shapeId="0" xr:uid="{00000000-0006-0000-0300-000014000000}">
      <text>
        <r>
          <rPr>
            <sz val="10"/>
            <rFont val="Arial"/>
            <family val="2"/>
          </rPr>
          <t>Source: Lines 30861, 32463</t>
        </r>
      </text>
    </comment>
    <comment ref="D20" authorId="0" shapeId="0" xr:uid="{00000000-0006-0000-0300-000021000000}">
      <text>
        <r>
          <rPr>
            <sz val="10"/>
            <rFont val="Arial"/>
            <family val="2"/>
          </rPr>
          <t>Source: Lines 30861, 32463</t>
        </r>
      </text>
    </comment>
    <comment ref="E20" authorId="0" shapeId="0" xr:uid="{00000000-0006-0000-0300-00002E000000}">
      <text>
        <r>
          <rPr>
            <sz val="10"/>
            <rFont val="Arial"/>
            <family val="2"/>
          </rPr>
          <t>Source: Lines 30861, 32463</t>
        </r>
      </text>
    </comment>
    <comment ref="B22" authorId="0" shapeId="0" xr:uid="{00000000-0006-0000-0300-000008000000}">
      <text>
        <r>
          <rPr>
            <sz val="10"/>
            <rFont val="Arial"/>
            <family val="2"/>
          </rPr>
          <t>Source: Lines 30865, 32467 | Dividends</t>
        </r>
      </text>
    </comment>
    <comment ref="C22" authorId="0" shapeId="0" xr:uid="{00000000-0006-0000-0300-000015000000}">
      <text>
        <r>
          <rPr>
            <sz val="10"/>
            <rFont val="Arial"/>
            <family val="2"/>
          </rPr>
          <t>Source: Lines 30865, 32467 | Dividends</t>
        </r>
      </text>
    </comment>
    <comment ref="D22" authorId="0" shapeId="0" xr:uid="{00000000-0006-0000-0300-000022000000}">
      <text>
        <r>
          <rPr>
            <sz val="10"/>
            <rFont val="Arial"/>
            <family val="2"/>
          </rPr>
          <t>Source: Lines 30865, 32467 | Dividends</t>
        </r>
      </text>
    </comment>
    <comment ref="E22" authorId="0" shapeId="0" xr:uid="{00000000-0006-0000-0300-00002F000000}">
      <text>
        <r>
          <rPr>
            <sz val="10"/>
            <rFont val="Arial"/>
            <family val="2"/>
          </rPr>
          <t>Source: Lines 30865, 32467 | Dividends</t>
        </r>
      </text>
    </comment>
    <comment ref="B23" authorId="0" shapeId="0" xr:uid="{00000000-0006-0000-0300-000009000000}">
      <text>
        <r>
          <rPr>
            <sz val="10"/>
            <rFont val="Arial"/>
            <family val="2"/>
          </rPr>
          <t>Source: Lines 30867, 32469 | Net Loss Common</t>
        </r>
      </text>
    </comment>
    <comment ref="C23" authorId="0" shapeId="0" xr:uid="{00000000-0006-0000-0300-000016000000}">
      <text>
        <r>
          <rPr>
            <sz val="10"/>
            <rFont val="Arial"/>
            <family val="2"/>
          </rPr>
          <t>Source: Lines 30867, 32469 | Net Loss Common</t>
        </r>
      </text>
    </comment>
    <comment ref="D23" authorId="0" shapeId="0" xr:uid="{00000000-0006-0000-0300-000023000000}">
      <text>
        <r>
          <rPr>
            <sz val="10"/>
            <rFont val="Arial"/>
            <family val="2"/>
          </rPr>
          <t>Source: Lines 30867, 32469 | Net Loss Common</t>
        </r>
      </text>
    </comment>
    <comment ref="E23" authorId="0" shapeId="0" xr:uid="{00000000-0006-0000-0300-000030000000}">
      <text>
        <r>
          <rPr>
            <sz val="10"/>
            <rFont val="Arial"/>
            <family val="2"/>
          </rPr>
          <t>Source: Lines 30867, 32469 | Net Loss Common</t>
        </r>
      </text>
    </comment>
    <comment ref="B24" authorId="0" shapeId="0" xr:uid="{00000000-0006-0000-0300-00000A000000}">
      <text>
        <r>
          <rPr>
            <sz val="10"/>
            <rFont val="Arial"/>
            <family val="2"/>
          </rPr>
          <t>Source: Lines 30869, 32471 | EPS</t>
        </r>
      </text>
    </comment>
    <comment ref="C24" authorId="0" shapeId="0" xr:uid="{00000000-0006-0000-0300-000017000000}">
      <text>
        <r>
          <rPr>
            <sz val="10"/>
            <rFont val="Arial"/>
            <family val="2"/>
          </rPr>
          <t>Source: Lines 30869, 32471 | EPS</t>
        </r>
      </text>
    </comment>
    <comment ref="D24" authorId="0" shapeId="0" xr:uid="{00000000-0006-0000-0300-000024000000}">
      <text>
        <r>
          <rPr>
            <sz val="10"/>
            <rFont val="Arial"/>
            <family val="2"/>
          </rPr>
          <t>Source: Lines 30869, 32471 | EPS</t>
        </r>
      </text>
    </comment>
    <comment ref="E24" authorId="0" shapeId="0" xr:uid="{00000000-0006-0000-0300-000031000000}">
      <text>
        <r>
          <rPr>
            <sz val="10"/>
            <rFont val="Arial"/>
            <family val="2"/>
          </rPr>
          <t>Source: Lines 30869, 32471 | EPS</t>
        </r>
      </text>
    </comment>
    <comment ref="B25" authorId="0" shapeId="0" xr:uid="{00000000-0006-0000-0300-00000B000000}">
      <text>
        <r>
          <rPr>
            <sz val="10"/>
            <rFont val="Arial"/>
            <family val="2"/>
          </rPr>
          <t>Source: Lines 30871, 32473 | Shares</t>
        </r>
      </text>
    </comment>
    <comment ref="C25" authorId="0" shapeId="0" xr:uid="{00000000-0006-0000-0300-000018000000}">
      <text>
        <r>
          <rPr>
            <sz val="10"/>
            <rFont val="Arial"/>
            <family val="2"/>
          </rPr>
          <t>Source: Lines 30871, 32473 | Shares</t>
        </r>
      </text>
    </comment>
    <comment ref="D25" authorId="0" shapeId="0" xr:uid="{00000000-0006-0000-0300-000025000000}">
      <text>
        <r>
          <rPr>
            <sz val="10"/>
            <rFont val="Arial"/>
            <family val="2"/>
          </rPr>
          <t>Source: Lines 30871, 32473 | Shares</t>
        </r>
      </text>
    </comment>
    <comment ref="E25" authorId="0" shapeId="0" xr:uid="{00000000-0006-0000-0300-000032000000}">
      <text>
        <r>
          <rPr>
            <sz val="10"/>
            <rFont val="Arial"/>
            <family val="2"/>
          </rPr>
          <t>Source: Lines 30871, 32473 | Shares</t>
        </r>
      </text>
    </comment>
    <comment ref="B26" authorId="0" shapeId="0" xr:uid="{00000000-0006-0000-0300-00000C000000}">
      <text>
        <r>
          <rPr>
            <sz val="10"/>
            <rFont val="Arial"/>
            <family val="2"/>
          </rPr>
          <t>Source: Lines 30873, 32475 | Comprehensive Loss</t>
        </r>
      </text>
    </comment>
    <comment ref="C26" authorId="0" shapeId="0" xr:uid="{00000000-0006-0000-0300-000019000000}">
      <text>
        <r>
          <rPr>
            <sz val="10"/>
            <rFont val="Arial"/>
            <family val="2"/>
          </rPr>
          <t>Source: Lines 30873, 32475 | Comprehensive Loss</t>
        </r>
      </text>
    </comment>
    <comment ref="D26" authorId="0" shapeId="0" xr:uid="{00000000-0006-0000-0300-000026000000}">
      <text>
        <r>
          <rPr>
            <sz val="10"/>
            <rFont val="Arial"/>
            <family val="2"/>
          </rPr>
          <t>Source: Lines 30873, 32475 | Comprehensive Loss</t>
        </r>
      </text>
    </comment>
    <comment ref="E26" authorId="0" shapeId="0" xr:uid="{00000000-0006-0000-0300-000033000000}">
      <text>
        <r>
          <rPr>
            <sz val="10"/>
            <rFont val="Arial"/>
            <family val="2"/>
          </rPr>
          <t>Source: Lines 30873, 32475 | Comprehensive Loss</t>
        </r>
      </text>
    </comment>
    <comment ref="B27" authorId="0" shapeId="0" xr:uid="{00000000-0006-0000-0300-00000D000000}">
      <text>
        <r>
          <rPr>
            <sz val="10"/>
            <rFont val="Arial"/>
            <family val="2"/>
          </rPr>
          <t>Source: Lines 30875, 32476 | Total Comp Loss</t>
        </r>
      </text>
    </comment>
    <comment ref="C27" authorId="0" shapeId="0" xr:uid="{00000000-0006-0000-0300-00001A000000}">
      <text>
        <r>
          <rPr>
            <sz val="10"/>
            <rFont val="Arial"/>
            <family val="2"/>
          </rPr>
          <t>Source: Lines 30875, 32476 | Total Comp Loss</t>
        </r>
      </text>
    </comment>
    <comment ref="D27" authorId="0" shapeId="0" xr:uid="{00000000-0006-0000-0300-000027000000}">
      <text>
        <r>
          <rPr>
            <sz val="10"/>
            <rFont val="Arial"/>
            <family val="2"/>
          </rPr>
          <t>Source: Lines 30875, 32476 | Total Comp Loss</t>
        </r>
      </text>
    </comment>
    <comment ref="E27" authorId="0" shapeId="0" xr:uid="{00000000-0006-0000-0300-000034000000}">
      <text>
        <r>
          <rPr>
            <sz val="10"/>
            <rFont val="Arial"/>
            <family val="2"/>
          </rPr>
          <t>Source: Lines 30875, 32476 | Total Comp Loss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Unknown Author</author>
  </authors>
  <commentList>
    <comment ref="B11" authorId="0" shapeId="0" xr:uid="{00000000-0006-0000-0400-000001000000}">
      <text>
        <r>
          <rPr>
            <sz val="10"/>
            <rFont val="Arial"/>
            <family val="2"/>
          </rPr>
          <t>Source: Lines 16813-16816 | Forecast Table</t>
        </r>
      </text>
    </comment>
    <comment ref="C11" authorId="0" shapeId="0" xr:uid="{00000000-0006-0000-0400-000008000000}">
      <text>
        <r>
          <rPr>
            <sz val="10"/>
            <rFont val="Arial"/>
            <family val="2"/>
          </rPr>
          <t>Source: Lines 16813-16816 | Forecast Table</t>
        </r>
      </text>
    </comment>
    <comment ref="D11" authorId="0" shapeId="0" xr:uid="{00000000-0006-0000-0400-00000F000000}">
      <text>
        <r>
          <rPr>
            <sz val="10"/>
            <rFont val="Arial"/>
            <family val="2"/>
          </rPr>
          <t>Source: Lines 16813-16816 | Forecast Table</t>
        </r>
      </text>
    </comment>
    <comment ref="B12" authorId="0" shapeId="0" xr:uid="{00000000-0006-0000-0400-000002000000}">
      <text>
        <r>
          <rPr>
            <sz val="10"/>
            <rFont val="Arial"/>
            <family val="2"/>
          </rPr>
          <t>Source: Lines 16817-16820 | Forecast Table</t>
        </r>
      </text>
    </comment>
    <comment ref="C12" authorId="0" shapeId="0" xr:uid="{00000000-0006-0000-0400-000009000000}">
      <text>
        <r>
          <rPr>
            <sz val="10"/>
            <rFont val="Arial"/>
            <family val="2"/>
          </rPr>
          <t>Source: Lines 16817-16820 | Forecast Table</t>
        </r>
      </text>
    </comment>
    <comment ref="D12" authorId="0" shapeId="0" xr:uid="{00000000-0006-0000-0400-000010000000}">
      <text>
        <r>
          <rPr>
            <sz val="10"/>
            <rFont val="Arial"/>
            <family val="2"/>
          </rPr>
          <t>Source: Lines 16817-16820 | Forecast Table</t>
        </r>
      </text>
    </comment>
    <comment ref="B13" authorId="0" shapeId="0" xr:uid="{00000000-0006-0000-0400-000003000000}">
      <text>
        <r>
          <rPr>
            <sz val="10"/>
            <rFont val="Arial"/>
            <family val="2"/>
          </rPr>
          <t>Source: Lines 16821-16823 | Forecast Table</t>
        </r>
      </text>
    </comment>
    <comment ref="C13" authorId="0" shapeId="0" xr:uid="{00000000-0006-0000-0400-00000A000000}">
      <text>
        <r>
          <rPr>
            <sz val="10"/>
            <rFont val="Arial"/>
            <family val="2"/>
          </rPr>
          <t>Source: Lines 16821-16823 | Forecast Table</t>
        </r>
      </text>
    </comment>
    <comment ref="D13" authorId="0" shapeId="0" xr:uid="{00000000-0006-0000-0400-000011000000}">
      <text>
        <r>
          <rPr>
            <sz val="10"/>
            <rFont val="Arial"/>
            <family val="2"/>
          </rPr>
          <t>Source: Lines 16821-16823 | Forecast Table</t>
        </r>
      </text>
    </comment>
    <comment ref="B14" authorId="0" shapeId="0" xr:uid="{00000000-0006-0000-0400-000004000000}">
      <text>
        <r>
          <rPr>
            <sz val="10"/>
            <rFont val="Arial"/>
            <family val="2"/>
          </rPr>
          <t>Source: Lines 16824-16826 | Forecast Table</t>
        </r>
      </text>
    </comment>
    <comment ref="C14" authorId="0" shapeId="0" xr:uid="{00000000-0006-0000-0400-00000B000000}">
      <text>
        <r>
          <rPr>
            <sz val="10"/>
            <rFont val="Arial"/>
            <family val="2"/>
          </rPr>
          <t>Source: Lines 16824-16826 | Forecast Table</t>
        </r>
      </text>
    </comment>
    <comment ref="D14" authorId="0" shapeId="0" xr:uid="{00000000-0006-0000-0400-000012000000}">
      <text>
        <r>
          <rPr>
            <sz val="10"/>
            <rFont val="Arial"/>
            <family val="2"/>
          </rPr>
          <t>Source: Lines 16824-16826 | Forecast Table</t>
        </r>
      </text>
    </comment>
    <comment ref="B15" authorId="0" shapeId="0" xr:uid="{00000000-0006-0000-0400-000005000000}">
      <text>
        <r>
          <rPr>
            <sz val="10"/>
            <rFont val="Arial"/>
            <family val="2"/>
          </rPr>
          <t>Source: Lines 16827-16830 | Forecast Table</t>
        </r>
      </text>
    </comment>
    <comment ref="C15" authorId="0" shapeId="0" xr:uid="{00000000-0006-0000-0400-00000C000000}">
      <text>
        <r>
          <rPr>
            <sz val="10"/>
            <rFont val="Arial"/>
            <family val="2"/>
          </rPr>
          <t>Source: Lines 16827-16830 | Forecast Table</t>
        </r>
      </text>
    </comment>
    <comment ref="D15" authorId="0" shapeId="0" xr:uid="{00000000-0006-0000-0400-000013000000}">
      <text>
        <r>
          <rPr>
            <sz val="10"/>
            <rFont val="Arial"/>
            <family val="2"/>
          </rPr>
          <t>Source: Lines 16827-16830 | Forecast Table</t>
        </r>
      </text>
    </comment>
    <comment ref="B18" authorId="0" shapeId="0" xr:uid="{00000000-0006-0000-0400-000006000000}">
      <text>
        <r>
          <rPr>
            <sz val="10"/>
            <rFont val="Arial"/>
            <family val="2"/>
          </rPr>
          <t>Source: Lines 16831-16834</t>
        </r>
      </text>
    </comment>
    <comment ref="C18" authorId="0" shapeId="0" xr:uid="{00000000-0006-0000-0400-00000D000000}">
      <text>
        <r>
          <rPr>
            <sz val="10"/>
            <rFont val="Arial"/>
            <family val="2"/>
          </rPr>
          <t>Source: Lines 16831-16834</t>
        </r>
      </text>
    </comment>
    <comment ref="D18" authorId="0" shapeId="0" xr:uid="{00000000-0006-0000-0400-000014000000}">
      <text>
        <r>
          <rPr>
            <sz val="10"/>
            <rFont val="Arial"/>
            <family val="2"/>
          </rPr>
          <t>Source: Lines 16831-16834</t>
        </r>
      </text>
    </comment>
    <comment ref="B22" authorId="0" shapeId="0" xr:uid="{00000000-0006-0000-0400-000007000000}">
      <text>
        <r>
          <rPr>
            <sz val="10"/>
            <rFont val="Arial"/>
            <family val="2"/>
          </rPr>
          <t>Source: Lines 16835-16838 | Forecast Table</t>
        </r>
      </text>
    </comment>
    <comment ref="C22" authorId="0" shapeId="0" xr:uid="{00000000-0006-0000-0400-00000E000000}">
      <text>
        <r>
          <rPr>
            <sz val="10"/>
            <rFont val="Arial"/>
            <family val="2"/>
          </rPr>
          <t>Source: Lines 16835-16838 | Forecast Table</t>
        </r>
      </text>
    </comment>
    <comment ref="D22" authorId="0" shapeId="0" xr:uid="{00000000-0006-0000-0400-000015000000}">
      <text>
        <r>
          <rPr>
            <sz val="10"/>
            <rFont val="Arial"/>
            <family val="2"/>
          </rPr>
          <t>Source: Lines 16835-16838 | Forecast Table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Unknown Author</author>
  </authors>
  <commentList>
    <comment ref="C11" authorId="0" shapeId="0" xr:uid="{00000000-0006-0000-0500-000007000000}">
      <text>
        <r>
          <rPr>
            <sz val="10"/>
            <rFont val="Arial"/>
            <family val="2"/>
          </rPr>
          <t>Source: Line 16407 | Benchmark Table</t>
        </r>
      </text>
    </comment>
    <comment ref="C12" authorId="0" shapeId="0" xr:uid="{00000000-0006-0000-0500-000008000000}">
      <text>
        <r>
          <rPr>
            <sz val="10"/>
            <rFont val="Arial"/>
            <family val="2"/>
          </rPr>
          <t>Source: Line 16409 | Benchmark Table</t>
        </r>
      </text>
    </comment>
    <comment ref="C13" authorId="0" shapeId="0" xr:uid="{00000000-0006-0000-0500-000009000000}">
      <text>
        <r>
          <rPr>
            <sz val="10"/>
            <rFont val="Arial"/>
            <family val="2"/>
          </rPr>
          <t>Source: Line 16410 | Benchmark Table</t>
        </r>
      </text>
    </comment>
    <comment ref="C14" authorId="0" shapeId="0" xr:uid="{00000000-0006-0000-0500-00000A000000}">
      <text>
        <r>
          <rPr>
            <sz val="10"/>
            <rFont val="Arial"/>
            <family val="2"/>
          </rPr>
          <t>Source: Line 16411 | Benchmark Table</t>
        </r>
      </text>
    </comment>
    <comment ref="C15" authorId="0" shapeId="0" xr:uid="{00000000-0006-0000-0500-00000B000000}">
      <text>
        <r>
          <rPr>
            <sz val="10"/>
            <rFont val="Arial"/>
            <family val="2"/>
          </rPr>
          <t>Source: Line 16412 | Benchmark Table</t>
        </r>
      </text>
    </comment>
    <comment ref="C16" authorId="0" shapeId="0" xr:uid="{00000000-0006-0000-0500-00000C000000}">
      <text>
        <r>
          <rPr>
            <sz val="10"/>
            <rFont val="Arial"/>
            <family val="2"/>
          </rPr>
          <t>Source: Line 16413 | Benchmark Table</t>
        </r>
      </text>
    </comment>
    <comment ref="C17" authorId="0" shapeId="0" xr:uid="{00000000-0006-0000-0500-00000D000000}">
      <text>
        <r>
          <rPr>
            <sz val="10"/>
            <rFont val="Arial"/>
            <family val="2"/>
          </rPr>
          <t>Source: Line 16414 | Benchmark Table</t>
        </r>
      </text>
    </comment>
    <comment ref="C18" authorId="0" shapeId="0" xr:uid="{00000000-0006-0000-0500-00000E000000}">
      <text>
        <r>
          <rPr>
            <sz val="10"/>
            <rFont val="Arial"/>
            <family val="2"/>
          </rPr>
          <t>Source: Line 16415 | Benchmark Table</t>
        </r>
      </text>
    </comment>
    <comment ref="C19" authorId="0" shapeId="0" xr:uid="{00000000-0006-0000-0500-00000F000000}">
      <text>
        <r>
          <rPr>
            <sz val="10"/>
            <rFont val="Arial"/>
            <family val="2"/>
          </rPr>
          <t>Source: Line 16416 | Benchmark Table</t>
        </r>
      </text>
    </comment>
    <comment ref="C20" authorId="0" shapeId="0" xr:uid="{00000000-0006-0000-0500-000010000000}">
      <text>
        <r>
          <rPr>
            <sz val="10"/>
            <rFont val="Arial"/>
            <family val="2"/>
          </rPr>
          <t>Source: Line 16417 | Benchmark Table</t>
        </r>
      </text>
    </comment>
    <comment ref="C21" authorId="0" shapeId="0" xr:uid="{00000000-0006-0000-0500-000011000000}">
      <text>
        <r>
          <rPr>
            <sz val="10"/>
            <rFont val="Arial"/>
            <family val="2"/>
          </rPr>
          <t>Source: Line 16418 | Benchmark Table</t>
        </r>
      </text>
    </comment>
    <comment ref="C22" authorId="0" shapeId="0" xr:uid="{00000000-0006-0000-0500-000012000000}">
      <text>
        <r>
          <rPr>
            <sz val="10"/>
            <rFont val="Arial"/>
            <family val="2"/>
          </rPr>
          <t>Source: Line 16420 | Benchmark Table</t>
        </r>
      </text>
    </comment>
    <comment ref="C23" authorId="0" shapeId="0" xr:uid="{00000000-0006-0000-0500-000013000000}">
      <text>
        <r>
          <rPr>
            <sz val="10"/>
            <rFont val="Arial"/>
            <family val="2"/>
          </rPr>
          <t>Source: Line 16421 | Benchmark Table</t>
        </r>
      </text>
    </comment>
    <comment ref="C24" authorId="0" shapeId="0" xr:uid="{00000000-0006-0000-0500-000014000000}">
      <text>
        <r>
          <rPr>
            <sz val="10"/>
            <rFont val="Arial"/>
            <family val="2"/>
          </rPr>
          <t>Source: Line 16422 | Benchmark Table</t>
        </r>
      </text>
    </comment>
    <comment ref="C25" authorId="0" shapeId="0" xr:uid="{00000000-0006-0000-0500-000015000000}">
      <text>
        <r>
          <rPr>
            <sz val="10"/>
            <rFont val="Arial"/>
            <family val="2"/>
          </rPr>
          <t>Source: Line 16423 | Benchmark Table</t>
        </r>
      </text>
    </comment>
    <comment ref="C26" authorId="0" shapeId="0" xr:uid="{00000000-0006-0000-0500-000016000000}">
      <text>
        <r>
          <rPr>
            <sz val="10"/>
            <rFont val="Arial"/>
            <family val="2"/>
          </rPr>
          <t>Source: Line 16424 | Benchmark Table</t>
        </r>
      </text>
    </comment>
    <comment ref="C27" authorId="0" shapeId="0" xr:uid="{00000000-0006-0000-0500-000017000000}">
      <text>
        <r>
          <rPr>
            <sz val="10"/>
            <rFont val="Arial"/>
            <family val="2"/>
          </rPr>
          <t>Source: Line 16425 | Benchmark Table</t>
        </r>
      </text>
    </comment>
    <comment ref="C28" authorId="0" shapeId="0" xr:uid="{00000000-0006-0000-0500-000018000000}">
      <text>
        <r>
          <rPr>
            <sz val="10"/>
            <rFont val="Arial"/>
            <family val="2"/>
          </rPr>
          <t>Source: Line 16427 | Benchmark Table</t>
        </r>
      </text>
    </comment>
    <comment ref="C29" authorId="0" shapeId="0" xr:uid="{00000000-0006-0000-0500-000019000000}">
      <text>
        <r>
          <rPr>
            <sz val="10"/>
            <rFont val="Arial"/>
            <family val="2"/>
          </rPr>
          <t>Source: Line 16428 | Benchmark Table</t>
        </r>
      </text>
    </comment>
    <comment ref="C30" authorId="0" shapeId="0" xr:uid="{00000000-0006-0000-0500-00001A000000}">
      <text>
        <r>
          <rPr>
            <sz val="10"/>
            <rFont val="Arial"/>
            <family val="2"/>
          </rPr>
          <t>Source: Line 16429 | Benchmark Table</t>
        </r>
      </text>
    </comment>
    <comment ref="C31" authorId="0" shapeId="0" xr:uid="{00000000-0006-0000-0500-00001B000000}">
      <text>
        <r>
          <rPr>
            <sz val="10"/>
            <rFont val="Arial"/>
            <family val="2"/>
          </rPr>
          <t>Source: Line 16430 | Benchmark Table</t>
        </r>
      </text>
    </comment>
    <comment ref="B35" authorId="0" shapeId="0" xr:uid="{00000000-0006-0000-0500-000001000000}">
      <text>
        <r>
          <rPr>
            <sz val="10"/>
            <rFont val="Arial"/>
            <family val="2"/>
          </rPr>
          <t>Source: Line 16447 | Summary Table</t>
        </r>
      </text>
    </comment>
    <comment ref="C35" authorId="0" shapeId="0" xr:uid="{00000000-0006-0000-0500-00001C000000}">
      <text>
        <r>
          <rPr>
            <sz val="10"/>
            <rFont val="Arial"/>
            <family val="2"/>
          </rPr>
          <t>Source: Line 16447 | Summary Table</t>
        </r>
      </text>
    </comment>
    <comment ref="D35" authorId="0" shapeId="0" xr:uid="{00000000-0006-0000-0500-000022000000}">
      <text>
        <r>
          <rPr>
            <sz val="10"/>
            <rFont val="Arial"/>
            <family val="2"/>
          </rPr>
          <t>Source: Line 16447 | Summary Table</t>
        </r>
      </text>
    </comment>
    <comment ref="E35" authorId="0" shapeId="0" xr:uid="{00000000-0006-0000-0500-000028000000}">
      <text>
        <r>
          <rPr>
            <sz val="10"/>
            <rFont val="Arial"/>
            <family val="2"/>
          </rPr>
          <t>Source: Line 16447 | Summary Table</t>
        </r>
      </text>
    </comment>
    <comment ref="F35" authorId="0" shapeId="0" xr:uid="{00000000-0006-0000-0500-00002E000000}">
      <text>
        <r>
          <rPr>
            <sz val="10"/>
            <rFont val="Arial"/>
            <family val="2"/>
          </rPr>
          <t>Source: Line 16447 | Summary Table</t>
        </r>
      </text>
    </comment>
    <comment ref="G35" authorId="0" shapeId="0" xr:uid="{00000000-0006-0000-0500-000034000000}">
      <text>
        <r>
          <rPr>
            <sz val="10"/>
            <rFont val="Arial"/>
            <family val="2"/>
          </rPr>
          <t>Source: Line 16447 | Summary Table</t>
        </r>
      </text>
    </comment>
    <comment ref="H35" authorId="0" shapeId="0" xr:uid="{00000000-0006-0000-0500-00003A000000}">
      <text>
        <r>
          <rPr>
            <sz val="10"/>
            <rFont val="Arial"/>
            <family val="2"/>
          </rPr>
          <t>Source: Line 16447 | Summary Table</t>
        </r>
      </text>
    </comment>
    <comment ref="B36" authorId="0" shapeId="0" xr:uid="{00000000-0006-0000-0500-000002000000}">
      <text>
        <r>
          <rPr>
            <sz val="10"/>
            <rFont val="Arial"/>
            <family val="2"/>
          </rPr>
          <t>Source: Line 16448 | Summary Table</t>
        </r>
      </text>
    </comment>
    <comment ref="C36" authorId="0" shapeId="0" xr:uid="{00000000-0006-0000-0500-00001D000000}">
      <text>
        <r>
          <rPr>
            <sz val="10"/>
            <rFont val="Arial"/>
            <family val="2"/>
          </rPr>
          <t>Source: Line 16448 | Summary Table</t>
        </r>
      </text>
    </comment>
    <comment ref="D36" authorId="0" shapeId="0" xr:uid="{00000000-0006-0000-0500-000023000000}">
      <text>
        <r>
          <rPr>
            <sz val="10"/>
            <rFont val="Arial"/>
            <family val="2"/>
          </rPr>
          <t>Source: Line 16448 | Summary Table</t>
        </r>
      </text>
    </comment>
    <comment ref="E36" authorId="0" shapeId="0" xr:uid="{00000000-0006-0000-0500-000029000000}">
      <text>
        <r>
          <rPr>
            <sz val="10"/>
            <rFont val="Arial"/>
            <family val="2"/>
          </rPr>
          <t>Source: Line 16448 | Summary Table</t>
        </r>
      </text>
    </comment>
    <comment ref="F36" authorId="0" shapeId="0" xr:uid="{00000000-0006-0000-0500-00002F000000}">
      <text>
        <r>
          <rPr>
            <sz val="10"/>
            <rFont val="Arial"/>
            <family val="2"/>
          </rPr>
          <t>Source: Line 16448 | Summary Table</t>
        </r>
      </text>
    </comment>
    <comment ref="G36" authorId="0" shapeId="0" xr:uid="{00000000-0006-0000-0500-000035000000}">
      <text>
        <r>
          <rPr>
            <sz val="10"/>
            <rFont val="Arial"/>
            <family val="2"/>
          </rPr>
          <t>Source: Line 16448 | Summary Table</t>
        </r>
      </text>
    </comment>
    <comment ref="H36" authorId="0" shapeId="0" xr:uid="{00000000-0006-0000-0500-00003B000000}">
      <text>
        <r>
          <rPr>
            <sz val="10"/>
            <rFont val="Arial"/>
            <family val="2"/>
          </rPr>
          <t>Source: Line 16448 | Summary Table</t>
        </r>
      </text>
    </comment>
    <comment ref="B37" authorId="0" shapeId="0" xr:uid="{00000000-0006-0000-0500-000003000000}">
      <text>
        <r>
          <rPr>
            <sz val="10"/>
            <rFont val="Arial"/>
            <family val="2"/>
          </rPr>
          <t>Source: Line 16449 | Summary Table</t>
        </r>
      </text>
    </comment>
    <comment ref="C37" authorId="0" shapeId="0" xr:uid="{00000000-0006-0000-0500-00001E000000}">
      <text>
        <r>
          <rPr>
            <sz val="10"/>
            <rFont val="Arial"/>
            <family val="2"/>
          </rPr>
          <t>Source: Line 16449 | Summary Table</t>
        </r>
      </text>
    </comment>
    <comment ref="D37" authorId="0" shapeId="0" xr:uid="{00000000-0006-0000-0500-000024000000}">
      <text>
        <r>
          <rPr>
            <sz val="10"/>
            <rFont val="Arial"/>
            <family val="2"/>
          </rPr>
          <t>Source: Line 16449 | Summary Table</t>
        </r>
      </text>
    </comment>
    <comment ref="E37" authorId="0" shapeId="0" xr:uid="{00000000-0006-0000-0500-00002A000000}">
      <text>
        <r>
          <rPr>
            <sz val="10"/>
            <rFont val="Arial"/>
            <family val="2"/>
          </rPr>
          <t>Source: Line 16449 | Summary Table</t>
        </r>
      </text>
    </comment>
    <comment ref="F37" authorId="0" shapeId="0" xr:uid="{00000000-0006-0000-0500-000030000000}">
      <text>
        <r>
          <rPr>
            <sz val="10"/>
            <rFont val="Arial"/>
            <family val="2"/>
          </rPr>
          <t>Source: Line 16449 | Summary Table</t>
        </r>
      </text>
    </comment>
    <comment ref="G37" authorId="0" shapeId="0" xr:uid="{00000000-0006-0000-0500-000036000000}">
      <text>
        <r>
          <rPr>
            <sz val="10"/>
            <rFont val="Arial"/>
            <family val="2"/>
          </rPr>
          <t>Source: Line 16449 | Summary Table</t>
        </r>
      </text>
    </comment>
    <comment ref="H37" authorId="0" shapeId="0" xr:uid="{00000000-0006-0000-0500-00003C000000}">
      <text>
        <r>
          <rPr>
            <sz val="10"/>
            <rFont val="Arial"/>
            <family val="2"/>
          </rPr>
          <t>Source: Line 16449 | Summary Table</t>
        </r>
      </text>
    </comment>
    <comment ref="B38" authorId="0" shapeId="0" xr:uid="{00000000-0006-0000-0500-000004000000}">
      <text>
        <r>
          <rPr>
            <sz val="10"/>
            <rFont val="Arial"/>
            <family val="2"/>
          </rPr>
          <t>Source: Line 16450 | Summary Table</t>
        </r>
      </text>
    </comment>
    <comment ref="C38" authorId="0" shapeId="0" xr:uid="{00000000-0006-0000-0500-00001F000000}">
      <text>
        <r>
          <rPr>
            <sz val="10"/>
            <rFont val="Arial"/>
            <family val="2"/>
          </rPr>
          <t>Source: Line 16450 | Summary Table</t>
        </r>
      </text>
    </comment>
    <comment ref="D38" authorId="0" shapeId="0" xr:uid="{00000000-0006-0000-0500-000025000000}">
      <text>
        <r>
          <rPr>
            <sz val="10"/>
            <rFont val="Arial"/>
            <family val="2"/>
          </rPr>
          <t>Source: Line 16450 | Summary Table</t>
        </r>
      </text>
    </comment>
    <comment ref="E38" authorId="0" shapeId="0" xr:uid="{00000000-0006-0000-0500-00002B000000}">
      <text>
        <r>
          <rPr>
            <sz val="10"/>
            <rFont val="Arial"/>
            <family val="2"/>
          </rPr>
          <t>Source: Line 16450 | Summary Table</t>
        </r>
      </text>
    </comment>
    <comment ref="F38" authorId="0" shapeId="0" xr:uid="{00000000-0006-0000-0500-000031000000}">
      <text>
        <r>
          <rPr>
            <sz val="10"/>
            <rFont val="Arial"/>
            <family val="2"/>
          </rPr>
          <t>Source: Line 16450 | Summary Table</t>
        </r>
      </text>
    </comment>
    <comment ref="G38" authorId="0" shapeId="0" xr:uid="{00000000-0006-0000-0500-000037000000}">
      <text>
        <r>
          <rPr>
            <sz val="10"/>
            <rFont val="Arial"/>
            <family val="2"/>
          </rPr>
          <t>Source: Line 16450 | Summary Table</t>
        </r>
      </text>
    </comment>
    <comment ref="H38" authorId="0" shapeId="0" xr:uid="{00000000-0006-0000-0500-00003D000000}">
      <text>
        <r>
          <rPr>
            <sz val="10"/>
            <rFont val="Arial"/>
            <family val="2"/>
          </rPr>
          <t>Source: Line 16450 | Summary Table</t>
        </r>
      </text>
    </comment>
    <comment ref="B39" authorId="0" shapeId="0" xr:uid="{00000000-0006-0000-0500-000005000000}">
      <text>
        <r>
          <rPr>
            <sz val="10"/>
            <rFont val="Arial"/>
            <family val="2"/>
          </rPr>
          <t>Source: Line 16451 | Summary Table</t>
        </r>
      </text>
    </comment>
    <comment ref="C39" authorId="0" shapeId="0" xr:uid="{00000000-0006-0000-0500-000020000000}">
      <text>
        <r>
          <rPr>
            <sz val="10"/>
            <rFont val="Arial"/>
            <family val="2"/>
          </rPr>
          <t>Source: Line 16451 | Summary Table</t>
        </r>
      </text>
    </comment>
    <comment ref="D39" authorId="0" shapeId="0" xr:uid="{00000000-0006-0000-0500-000026000000}">
      <text>
        <r>
          <rPr>
            <sz val="10"/>
            <rFont val="Arial"/>
            <family val="2"/>
          </rPr>
          <t>Source: Line 16451 | Summary Table</t>
        </r>
      </text>
    </comment>
    <comment ref="E39" authorId="0" shapeId="0" xr:uid="{00000000-0006-0000-0500-00002C000000}">
      <text>
        <r>
          <rPr>
            <sz val="10"/>
            <rFont val="Arial"/>
            <family val="2"/>
          </rPr>
          <t>Source: Line 16451 | Summary Table</t>
        </r>
      </text>
    </comment>
    <comment ref="F39" authorId="0" shapeId="0" xr:uid="{00000000-0006-0000-0500-000032000000}">
      <text>
        <r>
          <rPr>
            <sz val="10"/>
            <rFont val="Arial"/>
            <family val="2"/>
          </rPr>
          <t>Source: Line 16451 | Summary Table</t>
        </r>
      </text>
    </comment>
    <comment ref="G39" authorId="0" shapeId="0" xr:uid="{00000000-0006-0000-0500-000038000000}">
      <text>
        <r>
          <rPr>
            <sz val="10"/>
            <rFont val="Arial"/>
            <family val="2"/>
          </rPr>
          <t>Source: Line 16451 | Summary Table</t>
        </r>
      </text>
    </comment>
    <comment ref="H39" authorId="0" shapeId="0" xr:uid="{00000000-0006-0000-0500-00003E000000}">
      <text>
        <r>
          <rPr>
            <sz val="10"/>
            <rFont val="Arial"/>
            <family val="2"/>
          </rPr>
          <t>Source: Line 16451 | Summary Table</t>
        </r>
      </text>
    </comment>
    <comment ref="B40" authorId="0" shapeId="0" xr:uid="{00000000-0006-0000-0500-000006000000}">
      <text>
        <r>
          <rPr>
            <sz val="10"/>
            <rFont val="Arial"/>
            <family val="2"/>
          </rPr>
          <t>Source: Line 16452 | Summary Table</t>
        </r>
      </text>
    </comment>
    <comment ref="C40" authorId="0" shapeId="0" xr:uid="{00000000-0006-0000-0500-000021000000}">
      <text>
        <r>
          <rPr>
            <sz val="10"/>
            <rFont val="Arial"/>
            <family val="2"/>
          </rPr>
          <t>Source: Line 16452 | Summary Table</t>
        </r>
      </text>
    </comment>
    <comment ref="D40" authorId="0" shapeId="0" xr:uid="{00000000-0006-0000-0500-000027000000}">
      <text>
        <r>
          <rPr>
            <sz val="10"/>
            <rFont val="Arial"/>
            <family val="2"/>
          </rPr>
          <t>Source: Line 16452 | Summary Table</t>
        </r>
      </text>
    </comment>
    <comment ref="E40" authorId="0" shapeId="0" xr:uid="{00000000-0006-0000-0500-00002D000000}">
      <text>
        <r>
          <rPr>
            <sz val="10"/>
            <rFont val="Arial"/>
            <family val="2"/>
          </rPr>
          <t>Source: Line 16452 | Summary Table</t>
        </r>
      </text>
    </comment>
    <comment ref="F40" authorId="0" shapeId="0" xr:uid="{00000000-0006-0000-0500-000033000000}">
      <text>
        <r>
          <rPr>
            <sz val="10"/>
            <rFont val="Arial"/>
            <family val="2"/>
          </rPr>
          <t>Source: Line 16452 | Summary Table</t>
        </r>
      </text>
    </comment>
    <comment ref="G40" authorId="0" shapeId="0" xr:uid="{00000000-0006-0000-0500-000039000000}">
      <text>
        <r>
          <rPr>
            <sz val="10"/>
            <rFont val="Arial"/>
            <family val="2"/>
          </rPr>
          <t>Source: Line 16452 | Summary Table</t>
        </r>
      </text>
    </comment>
    <comment ref="H40" authorId="0" shapeId="0" xr:uid="{00000000-0006-0000-0500-00003F000000}">
      <text>
        <r>
          <rPr>
            <sz val="10"/>
            <rFont val="Arial"/>
            <family val="2"/>
          </rPr>
          <t>Source: Line 16452 | Summary Table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Unknown Author</author>
  </authors>
  <commentList>
    <comment ref="B11" authorId="0" shapeId="0" xr:uid="{00000000-0006-0000-0600-000001000000}">
      <text>
        <r>
          <rPr>
            <sz val="10"/>
            <rFont val="Arial"/>
            <family val="2"/>
          </rPr>
          <t>Source: Lines 371, 2660, 4036 | PIPE Financing</t>
        </r>
      </text>
    </comment>
    <comment ref="B12" authorId="0" shapeId="0" xr:uid="{00000000-0006-0000-0600-000002000000}">
      <text>
        <r>
          <rPr>
            <sz val="10"/>
            <rFont val="Arial"/>
            <family val="2"/>
          </rPr>
          <t>Source: Lines 440, 2661, 2750 | Notes</t>
        </r>
      </text>
    </comment>
    <comment ref="C17" authorId="0" shapeId="0" xr:uid="{00000000-0006-0000-0600-000003000000}">
      <text>
        <r>
          <rPr>
            <sz val="10"/>
            <rFont val="Arial"/>
            <family val="2"/>
          </rPr>
          <t>Source: Lines 502, 2607, 4036 | PIPE Section</t>
        </r>
      </text>
    </comment>
    <comment ref="C18" authorId="0" shapeId="0" xr:uid="{00000000-0006-0000-0600-000004000000}">
      <text>
        <r>
          <rPr>
            <sz val="10"/>
            <rFont val="Arial"/>
            <family val="2"/>
          </rPr>
          <t>Source: Lines 1744, 15622, 34915 | Background</t>
        </r>
      </text>
    </comment>
    <comment ref="C19" authorId="0" shapeId="0" xr:uid="{00000000-0006-0000-0600-000005000000}">
      <text>
        <r>
          <rPr>
            <sz val="10"/>
            <rFont val="Arial"/>
            <family val="2"/>
          </rPr>
          <t>Source: Lines 1948, 15622, 34915 | Background</t>
        </r>
      </text>
    </comment>
    <comment ref="C20" authorId="0" shapeId="0" xr:uid="{00000000-0006-0000-0600-000006000000}">
      <text>
        <r>
          <rPr>
            <sz val="10"/>
            <rFont val="Arial"/>
            <family val="2"/>
          </rPr>
          <t>Source: Line 22548 | CEO Letter</t>
        </r>
      </text>
    </comment>
    <comment ref="C21" authorId="0" shapeId="0" xr:uid="{00000000-0006-0000-0600-000007000000}">
      <text>
        <r>
          <rPr>
            <sz val="10"/>
            <rFont val="Arial"/>
            <family val="2"/>
          </rPr>
          <t>Source: Line 22548 | CEO Letter</t>
        </r>
      </text>
    </comment>
    <comment ref="C25" authorId="0" shapeId="0" xr:uid="{00000000-0006-0000-0600-000008000000}">
      <text>
        <r>
          <rPr>
            <sz val="10"/>
            <rFont val="Arial"/>
            <family val="2"/>
          </rPr>
          <t>Source: Lines 15617-15623 | LOI Terms</t>
        </r>
      </text>
    </comment>
    <comment ref="D25" authorId="0" shapeId="0" xr:uid="{00000000-0006-0000-0600-00000A000000}">
      <text>
        <r>
          <rPr>
            <sz val="10"/>
            <rFont val="Arial"/>
            <family val="2"/>
          </rPr>
          <t>Source: Lines 15617-15623 | LOI Terms</t>
        </r>
      </text>
    </comment>
    <comment ref="C26" authorId="0" shapeId="0" xr:uid="{00000000-0006-0000-0600-000009000000}">
      <text>
        <r>
          <rPr>
            <sz val="10"/>
            <rFont val="Arial"/>
            <family val="2"/>
          </rPr>
          <t>Source: Lines 371, 4036, 15016 | BCA Terms</t>
        </r>
      </text>
    </comment>
    <comment ref="D26" authorId="0" shapeId="0" xr:uid="{00000000-0006-0000-0600-00000B000000}">
      <text>
        <r>
          <rPr>
            <sz val="10"/>
            <rFont val="Arial"/>
            <family val="2"/>
          </rPr>
          <t>Source: Lines 371, 4036, 15016 | BCA Terms</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Unknown Author</author>
  </authors>
  <commentList>
    <comment ref="B11" authorId="0" shapeId="0" xr:uid="{00000000-0006-0000-0700-000001000000}">
      <text>
        <r>
          <rPr>
            <sz val="10"/>
            <rFont val="Arial"/>
            <family val="2"/>
          </rPr>
          <t>Source: Lines 502, 1807 | Selected Definitions</t>
        </r>
      </text>
    </comment>
    <comment ref="B12" authorId="0" shapeId="0" xr:uid="{00000000-0006-0000-0700-000002000000}">
      <text>
        <r>
          <rPr>
            <sz val="10"/>
            <rFont val="Arial"/>
            <family val="2"/>
          </rPr>
          <t>Source: Lines 153, 2740 | Ownership Table</t>
        </r>
      </text>
    </comment>
    <comment ref="B13" authorId="0" shapeId="0" xr:uid="{00000000-0006-0000-0700-000003000000}">
      <text>
        <r>
          <rPr>
            <sz val="10"/>
            <rFont val="Arial"/>
            <family val="2"/>
          </rPr>
          <t>Source: Lines 170, 15634 | Sponsor Agreement</t>
        </r>
      </text>
    </comment>
    <comment ref="B14" authorId="0" shapeId="0" xr:uid="{00000000-0006-0000-0700-000004000000}">
      <text>
        <r>
          <rPr>
            <sz val="10"/>
            <rFont val="Arial"/>
            <family val="2"/>
          </rPr>
          <t>Source: Lines 15633-15634 | LOI &amp; Sponsor Agreement</t>
        </r>
      </text>
    </comment>
    <comment ref="B18" authorId="0" shapeId="0" xr:uid="{00000000-0006-0000-0700-000005000000}">
      <text>
        <r>
          <rPr>
            <sz val="10"/>
            <rFont val="Arial"/>
            <family val="2"/>
          </rPr>
          <t>Source: Lines 15644, 26131 | Board Structure</t>
        </r>
      </text>
    </comment>
    <comment ref="B19" authorId="0" shapeId="0" xr:uid="{00000000-0006-0000-0700-000006000000}">
      <text>
        <r>
          <rPr>
            <sz val="10"/>
            <rFont val="Arial"/>
            <family val="2"/>
          </rPr>
          <t>Source: Line 15644 | LOI &amp; BCA Terms</t>
        </r>
      </text>
    </comment>
    <comment ref="B20" authorId="0" shapeId="0" xr:uid="{00000000-0006-0000-0700-000007000000}">
      <text>
        <r>
          <rPr>
            <sz val="10"/>
            <rFont val="Arial"/>
            <family val="2"/>
          </rPr>
          <t>Source: Line 15644 | LOI &amp; BCA Terms</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Unknown Author</author>
  </authors>
  <commentList>
    <comment ref="B11" authorId="0" shapeId="0" xr:uid="{00000000-0006-0000-0800-000001000000}">
      <text>
        <r>
          <rPr>
            <sz val="10"/>
            <rFont val="Arial"/>
            <family val="2"/>
          </rPr>
          <t>Source: Acorns/Pioneer Investor Deck (May 2021) for deal-case figures; Tracxn company report (26-Jul-2026) and web research (Jul 2026) for real-world reconciliation. Companion narrative: OAKS_Qualitative_Deal_Synthesis.md</t>
        </r>
      </text>
    </comment>
  </commentList>
</comments>
</file>

<file path=xl/sharedStrings.xml><?xml version="1.0" encoding="utf-8"?>
<sst xmlns="http://schemas.openxmlformats.org/spreadsheetml/2006/main" count="1366" uniqueCount="983">
  <si>
    <t>Forvm.site</t>
  </si>
  <si>
    <t>PIONEER MERGER CORP. / ACORNS GROW INCORPORATED SPAC FINANCIAL MODEL</t>
  </si>
  <si>
    <t>Fully Sourced Financial Model of Proposed Business Combination | SEC Form S-4 (Filed June 22, 2021, Acc. No. 0001104659-21-084323)</t>
  </si>
  <si>
    <t>1. TRANSACTION IDENTIFICATION &amp; CORE PARTIES</t>
  </si>
  <si>
    <t>Attribute / Metric</t>
  </si>
  <si>
    <t>Verbatim Value in Document</t>
  </si>
  <si>
    <t>Defined Term / Context</t>
  </si>
  <si>
    <t>Source Line / Section</t>
  </si>
  <si>
    <t>Verified Y/N</t>
  </si>
  <si>
    <t>Target Company</t>
  </si>
  <si>
    <t>Acorns Grow Incorporated</t>
  </si>
  <si>
    <t>Acorns</t>
  </si>
  <si>
    <t>Lines 50, 1630 | Cover &amp; Definitions</t>
  </si>
  <si>
    <t>Y</t>
  </si>
  <si>
    <t>SPAC / Acquiror</t>
  </si>
  <si>
    <t>Pioneer Merger Corp.</t>
  </si>
  <si>
    <t>Pioneer</t>
  </si>
  <si>
    <t>Lines 48, 1850 | Cover &amp; Definitions</t>
  </si>
  <si>
    <t>Combined Entity Name</t>
  </si>
  <si>
    <t>New Acorns</t>
  </si>
  <si>
    <t>Lines 154, 1838 | Definitions &amp; Summary</t>
  </si>
  <si>
    <t>SEC Filing Type</t>
  </si>
  <si>
    <t>Form S-4 Registration Statement</t>
  </si>
  <si>
    <t>SEC Form S-4</t>
  </si>
  <si>
    <t>Lines 1-5 | SEC Filing Title</t>
  </si>
  <si>
    <t>SEC Accession Number</t>
  </si>
  <si>
    <t>0001104659-21-084323</t>
  </si>
  <si>
    <t>Accession Number</t>
  </si>
  <si>
    <t>Line 1 | Filing Header</t>
  </si>
  <si>
    <t>Filing Date</t>
  </si>
  <si>
    <t>June 22, 2021</t>
  </si>
  <si>
    <t>Pioneer Tickers (Nasdaq)</t>
  </si>
  <si>
    <t>PACX (Class A), PACXU (Units), PACXW (Warrants)</t>
  </si>
  <si>
    <t>Pioneer Securities</t>
  </si>
  <si>
    <t>Lines 54-58 | Cover Page</t>
  </si>
  <si>
    <t>New Acorns Proposed Ticker</t>
  </si>
  <si>
    <t>OAKS (Nasdaq)</t>
  </si>
  <si>
    <t>New Acorns Common Stock</t>
  </si>
  <si>
    <t>Lines 154, 1838 | Summary &amp; Definitions</t>
  </si>
  <si>
    <t>Pioneer Sponsor</t>
  </si>
  <si>
    <t>Pioneer Merger Sponsor LLC</t>
  </si>
  <si>
    <t>Sponsor</t>
  </si>
  <si>
    <t>Lines 502, 1807 | Selected Definitions</t>
  </si>
  <si>
    <t>2. VERBATIM DEFINED CORE DEAL PARAMETERS</t>
  </si>
  <si>
    <t>Implied Equity Value</t>
  </si>
  <si>
    <t>$1.5 billion</t>
  </si>
  <si>
    <t>Acorns Equity Value</t>
  </si>
  <si>
    <t>Lines 1636-1637 | Selected Definitions</t>
  </si>
  <si>
    <t>Minimum Cash Condition</t>
  </si>
  <si>
    <t>$340,000,000</t>
  </si>
  <si>
    <t>Closing Aggregate Cash Amount</t>
  </si>
  <si>
    <t>Lines 2700, 5773, 15641 | BCA Terms</t>
  </si>
  <si>
    <t>Outside Date / Termination Date</t>
  </si>
  <si>
    <t>January 15, 2022</t>
  </si>
  <si>
    <t>Termination Date</t>
  </si>
  <si>
    <t>Line 14870 | BCA Termination Section</t>
  </si>
  <si>
    <t>Secondary Liquidity Cash Election Cap</t>
  </si>
  <si>
    <t>Up to 10% of holdings ($91.6M midpoint)</t>
  </si>
  <si>
    <t>Cash Election Clause</t>
  </si>
  <si>
    <t>Lines 2758-2784, 5789 | Summary Notes</t>
  </si>
  <si>
    <t>3. VERBATIM LEGAL COUNSEL &amp; FINANCIAL ADVISORS</t>
  </si>
  <si>
    <t>Pioneer Legal Counsel</t>
  </si>
  <si>
    <t>Kirkland &amp; Ellis LLP</t>
  </si>
  <si>
    <t>K&amp;E</t>
  </si>
  <si>
    <t>Lines 60, 15561 | Summary &amp; Background</t>
  </si>
  <si>
    <t>Acorns Legal Counsel</t>
  </si>
  <si>
    <t>Paul Hastings LLP</t>
  </si>
  <si>
    <t>Paul Hastings</t>
  </si>
  <si>
    <t>Lines 64, 15652 | Summary &amp; Background</t>
  </si>
  <si>
    <t>Pioneer Financial Advisor</t>
  </si>
  <si>
    <t>Citigroup Global Markets Inc. (Citi)</t>
  </si>
  <si>
    <t>Citi</t>
  </si>
  <si>
    <t>Lines 15365, 15519 | Background of Combination</t>
  </si>
  <si>
    <t>Acorns Financial Advisor</t>
  </si>
  <si>
    <t>Moelis &amp; Company LLC</t>
  </si>
  <si>
    <t>Moelis</t>
  </si>
  <si>
    <t>Line 15577 | Background of Combination</t>
  </si>
  <si>
    <t>PIPE Placement Agent</t>
  </si>
  <si>
    <t>Line 15732 | Background of Combination</t>
  </si>
  <si>
    <t>Placement Agent Legal Counsel</t>
  </si>
  <si>
    <t>Latham &amp; Watkins LLP</t>
  </si>
  <si>
    <t>Latham</t>
  </si>
  <si>
    <t>Line 15746 | Background of Combination</t>
  </si>
  <si>
    <t>4. CRITICAL CAVEAT: TRANSACTION TERMINATION STATUS</t>
  </si>
  <si>
    <t>CRITICAL CAVEAT REGARDING DEAL STATUS:
1. SEC Form S-4 (filed June 22, 2021) represents a PRE-CLOSING registration statement disclosing the Business Combination AS PROPOSED.
2. The S-4 document text itself specifies an Outside Date / Termination Date of January 15, 2022 (Line 14870), but does NOT contain any record of transaction completion or post-filing termination.
3. Public historical record confirms that Pioneer Merger Corp. and Acorns Grow Incorporated mutually TERMINATED their Business Combination Agreement in January 2022 prior to closing.
4. PER USER INSTRUCTIONS: Every figure in this model is strictly sourced verbatim from Form S-4 without estimating, inferring, or utilizing post-filing external knowledge.</t>
  </si>
  <si>
    <t>5. WORKBOOK STRUCTURE &amp; TAB MAP</t>
  </si>
  <si>
    <t>Tab #</t>
  </si>
  <si>
    <t>Tab Name</t>
  </si>
  <si>
    <t>Description &amp; Primary Sourced Contents</t>
  </si>
  <si>
    <t>Cover</t>
  </si>
  <si>
    <t>Deal overview, key facts, defined terms, verbatim advisors, termination caveat, workbook map.</t>
  </si>
  <si>
    <t>Deal Structure</t>
  </si>
  <si>
    <t>Sources &amp; Uses table (No Red vs Max Red), implied transaction multiples, BCA closing conditions.</t>
  </si>
  <si>
    <t>Cap Table &amp; Ownership</t>
  </si>
  <si>
    <t>Pro forma share count by holder group, Rule 3 dual share count disclosure, warrants summary, SEC fee table.</t>
  </si>
  <si>
    <t>Historical Financials</t>
  </si>
  <si>
    <t>Full Consolidated Statements of Operations (FY19, FY20, 6M Ended Mar 31 2020 &amp; 2021) with all line items.</t>
  </si>
  <si>
    <t>Management Projections</t>
  </si>
  <si>
    <t>CY2021E-2023E Management Projections (subscribers, revenue, ARPU, gross profit, opex, EBITDA, cash) &amp; notes.</t>
  </si>
  <si>
    <t>Valuation &amp; Comps</t>
  </si>
  <si>
    <t>Full Valuation Benchmarking table (20 peer companies across Fintech, SaaS, Internet), Acorns multiples, mean/median table.</t>
  </si>
  <si>
    <t>PIPE &amp; Investor Detail</t>
  </si>
  <si>
    <t>PIPE common stock, PIPE convertible notes, named investors (Alpha Wave, Declaration, Senator), LOI vs BCA PIPE size evolution.</t>
  </si>
  <si>
    <t>Sponsor &amp; Governance</t>
  </si>
  <si>
    <t>Sponsor promote, founder shares, private placement warrants, 7-member board structure, verbatim officers &amp; directors.</t>
  </si>
  <si>
    <t>Sources &amp; Data Gaps</t>
  </si>
  <si>
    <t>Complete search/audit log, Rule 3 conflicting figures log, Rule 1 unverifiable/excluded data log.</t>
  </si>
  <si>
    <t>SOURCES &amp; USES AND TRANSACTION CLOSING CONDITIONS</t>
  </si>
  <si>
    <t>Sources and Uses of Funds under No Redemption vs Maximum Redemption Scenarios, Implied Multiples, and BCA Closing Conditions</t>
  </si>
  <si>
    <t>1. SOURCES &amp; USES OF FUNDS ($ IN EXACT DOLLARS AND MILLIONS)</t>
  </si>
  <si>
    <t>Sources / Uses Component</t>
  </si>
  <si>
    <t>No Redemption ($)</t>
  </si>
  <si>
    <t>Max Redemption ($)</t>
  </si>
  <si>
    <t>Notes / BCA Reference</t>
  </si>
  <si>
    <t>Pioneer Trust Account Cash</t>
  </si>
  <si>
    <t>Lines 3267, 2743, 5770-5772 | Summary</t>
  </si>
  <si>
    <t>Pioneer IPO Trust Account gross cash proceeds ($10.00/sh)</t>
  </si>
  <si>
    <t>PIPE Financing (Class A Common Stock)</t>
  </si>
  <si>
    <t>Lines 371, 2660, 4036 | PIPE Section</t>
  </si>
  <si>
    <t>16,500,000 shares at $10.00 per share</t>
  </si>
  <si>
    <t>PIPE Convertible Notes</t>
  </si>
  <si>
    <t>Lines 440, 2661, 2750 | Notes Section</t>
  </si>
  <si>
    <t>5,740,254 shares issuable upon conversion at $10.00 per share</t>
  </si>
  <si>
    <t>Acorns Equity Rollover Value</t>
  </si>
  <si>
    <t>Lines 360, 1384, 1637 | Definitions</t>
  </si>
  <si>
    <t>Acorns Equity Value defined term in BCA</t>
  </si>
  <si>
    <t>Total Cash &amp; Equity Sources</t>
  </si>
  <si>
    <t>Formula: SUM(B6:B9)</t>
  </si>
  <si>
    <t>Calculated Total Sources</t>
  </si>
  <si>
    <t>Acorns Stock Consideration</t>
  </si>
  <si>
    <t>Lines 2708, 2739 | Ownership Table</t>
  </si>
  <si>
    <t>Merger consideration equity issued to Acorns shareholders</t>
  </si>
  <si>
    <t>Acorns Cash Consideration / Secondary Liquidity</t>
  </si>
  <si>
    <t>Lines 2711, 5789-5790 | Cash Election</t>
  </si>
  <si>
    <t>Cash consideration elected by Acorns shareholders (up to 10% cap)</t>
  </si>
  <si>
    <t>Public Shareholder Redemptions</t>
  </si>
  <si>
    <t>Lines 2693, 5770-5772 | Redemptions</t>
  </si>
  <si>
    <t>Cash paid to redeeming Pioneer public shareholders</t>
  </si>
  <si>
    <t>Pioneer Public &amp; Sponsor Stock Rollover</t>
  </si>
  <si>
    <t>Lines 1414, 2740, 2743 | Ownership Table</t>
  </si>
  <si>
    <t>Pioneer existing public and Sponsor equity rollover</t>
  </si>
  <si>
    <t>Total Uses of Funds</t>
  </si>
  <si>
    <t>Formula: SUM(B12:B15)</t>
  </si>
  <si>
    <t>Calculated Total Uses</t>
  </si>
  <si>
    <t>2. KEY BCA TERMS &amp; CLOSING CONDITIONS (VERBATIM DEFINED TERMS)</t>
  </si>
  <si>
    <t>Defined Condition / Term</t>
  </si>
  <si>
    <t>Verbatim Figure / Limit</t>
  </si>
  <si>
    <t>Units</t>
  </si>
  <si>
    <t>Legal Definition &amp; Summary Notes</t>
  </si>
  <si>
    <t>EQUITY VALUE</t>
  </si>
  <si>
    <t>USD ($)</t>
  </si>
  <si>
    <t>Acorns Equity Value defined as implied fully-diluted equity value of Acorns of $1.5 billion.</t>
  </si>
  <si>
    <t>Lines 2700, 5773, 15641 | Conditions to Closing</t>
  </si>
  <si>
    <t>Closing Aggregate Cash Amount: Trust cash + PIPE cash + PIPE Notes cash ($55M) less redemptions must equal no less than $340.0 million.</t>
  </si>
  <si>
    <t>Maximum Redemption Cap</t>
  </si>
  <si>
    <t>28,290,100</t>
  </si>
  <si>
    <t>Shares</t>
  </si>
  <si>
    <t>Maximum public shares that may be redeemed to still satisfy the $340M minimum cash condition.</t>
  </si>
  <si>
    <t>Maximum Redemption Amount</t>
  </si>
  <si>
    <t>$282,901,000</t>
  </si>
  <si>
    <t>Maximum cash payment to redeeming public shareholders under maximum redemption scenario.</t>
  </si>
  <si>
    <t>Net Tangible Assets Minimum</t>
  </si>
  <si>
    <t>$5,000,001</t>
  </si>
  <si>
    <t>Line 2699 | Conditions to Closing</t>
  </si>
  <si>
    <t>Pioneer condition requiring net tangible assets of at least $5,000,001 upon consummation.</t>
  </si>
  <si>
    <t>Date</t>
  </si>
  <si>
    <t>BCA termination right if Closing has not occurred on or before January 15, 2022.</t>
  </si>
  <si>
    <t>10.0%</t>
  </si>
  <si>
    <t>Percentage (%)</t>
  </si>
  <si>
    <t>Lines 2760, 2784 | Notes</t>
  </si>
  <si>
    <t>Maximum percentage of holdings any Acorns shareholder can elect to receive in cash.</t>
  </si>
  <si>
    <t>Secondary Liquidity Midpoint Cash Assumption</t>
  </si>
  <si>
    <t>$91,600,000</t>
  </si>
  <si>
    <t>Lines 2764, 5789 | Notes</t>
  </si>
  <si>
    <t>Assumed cash election consideration based on midpoint of $400M-$500M Designated Balance Sheet Amount.</t>
  </si>
  <si>
    <t>CAP TABLE &amp; OWNERSHIP BREAKDOWN</t>
  </si>
  <si>
    <t>Pro Forma Ownership by Holder Group, Dual Acorns Share Count Reconciliation (Rule 3), Warrants, and SEC Registration Fee Table</t>
  </si>
  <si>
    <t>1. PRO FORMA COMMON STOCK OWNERSHIP STRUCTURE (BENEFICIAL OWNERSHIP TABLE BASIS)</t>
  </si>
  <si>
    <t>Holder Group / Share Category</t>
  </si>
  <si>
    <t>No Redemption Shares</t>
  </si>
  <si>
    <t>No Redemption %</t>
  </si>
  <si>
    <t>Max Redemption Shares</t>
  </si>
  <si>
    <t>Max Redemption %</t>
  </si>
  <si>
    <t>Former Acorns shareholders and preferred shareholders</t>
  </si>
  <si>
    <t>Lines 2739, 11795 | Ownership Table</t>
  </si>
  <si>
    <t>Sponsor (Pioneer Merger Sponsor LLC)</t>
  </si>
  <si>
    <t>Lines 2740, 11795 | Ownership Table</t>
  </si>
  <si>
    <t>PIPE shareholders</t>
  </si>
  <si>
    <t>Lines 2741, 11795 | Ownership Table</t>
  </si>
  <si>
    <t>PIPE convertible notes</t>
  </si>
  <si>
    <t>Lines 2742, 11795 | Ownership Table</t>
  </si>
  <si>
    <t>Pioneer public shareholders</t>
  </si>
  <si>
    <t>Lines 2743, 11795 | Ownership Table</t>
  </si>
  <si>
    <t>Total Shares of Common Stock Outstanding at Closing</t>
  </si>
  <si>
    <t>Lines 2744, 11795 | Total</t>
  </si>
  <si>
    <t>2. RULE 3 DUAL ACORNS SHARE COUNT DISCLOSURE &amp; RECONCILIATION</t>
  </si>
  <si>
    <t>Filing Section / Table</t>
  </si>
  <si>
    <t>Acorns Pro Forma Share Count</t>
  </si>
  <si>
    <t>Pro Forma Ownership %</t>
  </si>
  <si>
    <t>Detailed Reconciliation Note</t>
  </si>
  <si>
    <t>Deal Summary / Registration Fee Table</t>
  </si>
  <si>
    <t>128,423,746</t>
  </si>
  <si>
    <t>~64.0%</t>
  </si>
  <si>
    <t>Lines 154, 1400, 2021, 5706 | Fee Table &amp; Summary</t>
  </si>
  <si>
    <t>Represents issued shares of New Acorns Common Stock to Acorns equityholders under no redemption excluding PIPE shares and PIPE Convertible Notes. Excludes unissued options/RSUs/warrants or after cash election.</t>
  </si>
  <si>
    <t>Beneficial Ownership Table (No Redemption)</t>
  </si>
  <si>
    <t>140,835,687</t>
  </si>
  <si>
    <t>66.0%</t>
  </si>
  <si>
    <t>Lines 2708, 2739, 11795 | Ownership Table</t>
  </si>
  <si>
    <t>Includes all underlying Acorns options, warrants, and RSUs on an if-converted basis net of $91.6M secondary liquidity cash election payment.</t>
  </si>
  <si>
    <t>Beneficial Ownership Table (Max Redemption)</t>
  </si>
  <si>
    <t>150,000,000</t>
  </si>
  <si>
    <t>77.1%</t>
  </si>
  <si>
    <t>Lines 2714, 2739, 11795 | Ownership Table</t>
  </si>
  <si>
    <t>Includes all underlying Acorns options, warrants, and RSUs on an if-converted basis assuming $0 secondary liquidity cash election payment.</t>
  </si>
  <si>
    <t>3. PRO FORMA WARRANTS BREAKDOWN</t>
  </si>
  <si>
    <t>Warrant Class</t>
  </si>
  <si>
    <t>Number of Warrants</t>
  </si>
  <si>
    <t>Exercise Price ($)</t>
  </si>
  <si>
    <t>Notes / Conversion Terms</t>
  </si>
  <si>
    <t>Public Warrants</t>
  </si>
  <si>
    <t>Lines 140, 170, 181 | Fee Table</t>
  </si>
  <si>
    <t>Convert into warrants to acquire New Acorns Common Stock at $11.50 per share.</t>
  </si>
  <si>
    <t>Private Placement Warrants</t>
  </si>
  <si>
    <t>Lines 140, 170, 181, 15634 | Fee Table</t>
  </si>
  <si>
    <t>Held by Sponsor after forfeiting 3,350,000 warrants (50%) pursuant to Sponsor Agreement.</t>
  </si>
  <si>
    <t>Acorns Warrants (Rollover)</t>
  </si>
  <si>
    <t>N/A (Various)</t>
  </si>
  <si>
    <t>Lines 159, 182 | Fee Table</t>
  </si>
  <si>
    <t>Existing Acorns warrants converted into New Acorns warrants pursuant to BCA terms.</t>
  </si>
  <si>
    <t>Total Warrants Registered / Outstanding</t>
  </si>
  <si>
    <t>Line 141 | Registration Fee Table</t>
  </si>
  <si>
    <t>Total warrants registered on Form S-4</t>
  </si>
  <si>
    <t>4. SEC REGISTRATION FEE TABLE (FORM S-4 COVER PAGE)</t>
  </si>
  <si>
    <t>Title of Each Class of Securities to be Registered</t>
  </si>
  <si>
    <t>Amount to be Registered</t>
  </si>
  <si>
    <t>Proposed Max Offering Price Per Security</t>
  </si>
  <si>
    <t>Proposed Max Aggregate Offering Price</t>
  </si>
  <si>
    <t>Amount of Registration Fee</t>
  </si>
  <si>
    <t>New Acorns Common Stock(1)</t>
  </si>
  <si>
    <t>Lines 139, 146-163 | Fee Table Footnote (1)</t>
  </si>
  <si>
    <t>New Acorns Common Stock issuable upon exercise of warrants(2)</t>
  </si>
  <si>
    <t>Lines 140, 167-175 | Fee Table Footnote (2)</t>
  </si>
  <si>
    <t>Warrants to purchase New Acorns Common Stock(3)</t>
  </si>
  <si>
    <t>Lines 141, 178-183 | Fee Table Footnote (3)</t>
  </si>
  <si>
    <t>Total Securities Registered &amp; Fees</t>
  </si>
  <si>
    <t>Line 142 | Fee Table Total Row</t>
  </si>
  <si>
    <t>ACORNS GROW INCORPORATED CONSOLIDATED STATEMENTS OF OPERATIONS</t>
  </si>
  <si>
    <t>Verbatim Line-by-Line Historical Financial Results ($ in Thousands Except Share and Per Share Data)</t>
  </si>
  <si>
    <t>Consolidated Financial Line Item ($ in Thousands)</t>
  </si>
  <si>
    <t>Six Months Ended Mar 31, 2021</t>
  </si>
  <si>
    <t>Six Months Ended Mar 31, 2020</t>
  </si>
  <si>
    <t>Year Ended Sep 30, 2020</t>
  </si>
  <si>
    <t>Year Ended Sep 30, 2019</t>
  </si>
  <si>
    <t>Revenue</t>
  </si>
  <si>
    <t>Lines 30844, 32446 | Operations Statement</t>
  </si>
  <si>
    <t>Cost of revenue</t>
  </si>
  <si>
    <t>Lines 30847, 32449 | Operations Statement</t>
  </si>
  <si>
    <t>Sales and marketing</t>
  </si>
  <si>
    <t>Lines 30848, 32450 | Operations Statement</t>
  </si>
  <si>
    <t>Research and development</t>
  </si>
  <si>
    <t>Lines 30849, 32451 | Operations Statement</t>
  </si>
  <si>
    <t>General and administrative</t>
  </si>
  <si>
    <t>Lines 30850, 32452 | Operations Statement</t>
  </si>
  <si>
    <t>Total costs and expenses</t>
  </si>
  <si>
    <t>Calculated: SUM(Cost of Rev : G&amp;A)</t>
  </si>
  <si>
    <t>Loss from operations</t>
  </si>
  <si>
    <t>Calculated: Revenue - Total Costs</t>
  </si>
  <si>
    <t>Total non-operating income (expense), net</t>
  </si>
  <si>
    <t>Lines 30856, 32458 | Operations Statement</t>
  </si>
  <si>
    <t>Loss before income taxes</t>
  </si>
  <si>
    <t>Calculated: Operating Loss + Non-operating</t>
  </si>
  <si>
    <t>Provision for (benefit from) income taxes</t>
  </si>
  <si>
    <t>Lines 30861, 32463 | Taxes</t>
  </si>
  <si>
    <t>Net loss</t>
  </si>
  <si>
    <t>Lines 30863, 32465 | Net Loss</t>
  </si>
  <si>
    <t>Dividends on convertible preferred stock</t>
  </si>
  <si>
    <t>Lines 30865, 32467 | Dividends</t>
  </si>
  <si>
    <t>Net loss attributable to common stockholders</t>
  </si>
  <si>
    <t>Lines 30867, 32469 | Net Loss Common</t>
  </si>
  <si>
    <t>Net loss per share attributable to common stockholders, basic and diluted ($)</t>
  </si>
  <si>
    <t>Lines 30869, 32471 | EPS</t>
  </si>
  <si>
    <t>Weighted-average shares used in computing net loss per share, basic and diluted</t>
  </si>
  <si>
    <t>Lines 30871, 32473 | Shares</t>
  </si>
  <si>
    <t>Other comprehensive loss</t>
  </si>
  <si>
    <t>Lines 30873, 32475 | Comprehensive Loss</t>
  </si>
  <si>
    <t>Total comprehensive loss</t>
  </si>
  <si>
    <t>Lines 30875, 32476 | Total Comp Loss</t>
  </si>
  <si>
    <t>ACORNS MANAGEMENT PROJECTIONS &amp; FORECASTS (CY2021E - CY2023E)</t>
  </si>
  <si>
    <t>Financial and Operating Projections Sourced Verbatim from Pioneer Prospectus Disclosure ($ in Millions Except ARPU and Subscriber Data)</t>
  </si>
  <si>
    <t>Financial / Operating Metric</t>
  </si>
  <si>
    <t>CY2021E Forecast</t>
  </si>
  <si>
    <t>CY2022E Forecast</t>
  </si>
  <si>
    <t>CY2023E Forecast</t>
  </si>
  <si>
    <t>Total Subscribers (Millions)(1)</t>
  </si>
  <si>
    <t>Lines 16813-16816 | Forecast Table</t>
  </si>
  <si>
    <t>Total Revenue ($M)</t>
  </si>
  <si>
    <t>Lines 16817-16820 | Forecast Table</t>
  </si>
  <si>
    <t>% YoY Revenue Growth</t>
  </si>
  <si>
    <t>Lines 16821-16823 | Forecast Table</t>
  </si>
  <si>
    <t>Total ARPU ($)(2)</t>
  </si>
  <si>
    <t>Lines 16824-16826 | Forecast Table</t>
  </si>
  <si>
    <t>Cost of Revenue ($M)</t>
  </si>
  <si>
    <t>Lines 16827-16830 | Forecast Table</t>
  </si>
  <si>
    <t>Gross Profit ($M)</t>
  </si>
  <si>
    <t>Calculated: Revenue + Cost of Revenue</t>
  </si>
  <si>
    <t>% Gross Margin</t>
  </si>
  <si>
    <t>Calculated: Gross Profit / Revenue</t>
  </si>
  <si>
    <t>Total Operating Expenses ($M)</t>
  </si>
  <si>
    <t>Lines 16831-16834 | Forecast Table</t>
  </si>
  <si>
    <t>% Operating Expenses of Revenue</t>
  </si>
  <si>
    <t>Calculated: Operating Expenses / Revenue</t>
  </si>
  <si>
    <t>Operating Loss ($M)</t>
  </si>
  <si>
    <t>Calculated: Gross Profit + Opex</t>
  </si>
  <si>
    <t>% Operating Loss Margin</t>
  </si>
  <si>
    <t>Calculated: Operating Loss / Revenue</t>
  </si>
  <si>
    <t>Adjusted EBITDA ($M)</t>
  </si>
  <si>
    <t>Lines 16835-16838 | Forecast Table</t>
  </si>
  <si>
    <t>Operating Cash Flow ($M)</t>
  </si>
  <si>
    <t>VERBATIM PROJECTION FOOTNOTES DISCLOSED IN FILING:</t>
  </si>
  <si>
    <t>(1) Total Subscribers: Millions of subscribers at period end.
(2) ARPU Definition: Acorns defines ARPU as the annualized average revenue per user (subscriber) of Acorns platform.
(3) Cash &amp; Cash Equivalents Assumption: Represents cash and cash equivalents on balance sheet. Assumes $500 million net proceeds from Business Combination with Pioneer.</t>
  </si>
  <si>
    <t>VALUATION BENCHMARKING &amp; COMPARABLE COMPANIES ANALYSIS</t>
  </si>
  <si>
    <t>Complete Peer Benchmarking Table (20 Peer Companies across Fintech, SaaS, Internet), Summary Mean/Median Multiples, and Acorns Implied Multiples</t>
  </si>
  <si>
    <t>1. COMPLETE COMPARABLE COMPANIES BENCHMARKING TABLE (ALL 20 PEERS DISCLOSED IN FILING)</t>
  </si>
  <si>
    <t>Company Name</t>
  </si>
  <si>
    <t>Peer Group Sector</t>
  </si>
  <si>
    <t>Firm Value ($B)</t>
  </si>
  <si>
    <t>Revenue 2021E ($B)</t>
  </si>
  <si>
    <t>Revenue Growth 2021E (%)</t>
  </si>
  <si>
    <t>Revenue Growth 2022E (%)</t>
  </si>
  <si>
    <t>FV / Revenue 2021E (x)</t>
  </si>
  <si>
    <t>FV / Revenue 2022E (x)</t>
  </si>
  <si>
    <t>Acorns (Implied Deal Value)</t>
  </si>
  <si>
    <t>Target</t>
  </si>
  <si>
    <t>Line 16407 | Benchmark Table</t>
  </si>
  <si>
    <t>PayPal</t>
  </si>
  <si>
    <t>Fintech Comparables</t>
  </si>
  <si>
    <t>Line 16409 | Benchmark Table</t>
  </si>
  <si>
    <t>Shopify</t>
  </si>
  <si>
    <t>Line 16410 | Benchmark Table</t>
  </si>
  <si>
    <t>Square</t>
  </si>
  <si>
    <t>Line 16411 | Benchmark Table</t>
  </si>
  <si>
    <t>Adyen</t>
  </si>
  <si>
    <t>Line 16412 | Benchmark Table</t>
  </si>
  <si>
    <t>Affirm</t>
  </si>
  <si>
    <t>Line 16413 | Benchmark Table</t>
  </si>
  <si>
    <t>Afterpay</t>
  </si>
  <si>
    <t>Line 16414 | Benchmark Table</t>
  </si>
  <si>
    <t>XP Inc.</t>
  </si>
  <si>
    <t>Line 16415 | Benchmark Table</t>
  </si>
  <si>
    <t>SoFi</t>
  </si>
  <si>
    <t>Line 16416 | Benchmark Table</t>
  </si>
  <si>
    <t>eToro</t>
  </si>
  <si>
    <t>Line 16417 | Benchmark Table</t>
  </si>
  <si>
    <t>MoneyLion</t>
  </si>
  <si>
    <t>Line 16418 | Benchmark Table</t>
  </si>
  <si>
    <t>Coupa</t>
  </si>
  <si>
    <t>SaaS Comparables</t>
  </si>
  <si>
    <t>Line 16420 | Benchmark Table</t>
  </si>
  <si>
    <t>Avalara</t>
  </si>
  <si>
    <t>Line 16421 | Benchmark Table</t>
  </si>
  <si>
    <t>Anaplan</t>
  </si>
  <si>
    <t>Line 16422 | Benchmark Table</t>
  </si>
  <si>
    <t>Q2</t>
  </si>
  <si>
    <t>Line 16423 | Benchmark Table</t>
  </si>
  <si>
    <t>nCino</t>
  </si>
  <si>
    <t>Line 16424 | Benchmark Table</t>
  </si>
  <si>
    <t>Duck Creek Technologies</t>
  </si>
  <si>
    <t>Line 16425 | Benchmark Table</t>
  </si>
  <si>
    <t>Snapchat</t>
  </si>
  <si>
    <t>Internet Comparables</t>
  </si>
  <si>
    <t>Line 16427 | Benchmark Table</t>
  </si>
  <si>
    <t>Roku</t>
  </si>
  <si>
    <t>Line 16428 | Benchmark Table</t>
  </si>
  <si>
    <t>Pinterest</t>
  </si>
  <si>
    <t>Line 16429 | Benchmark Table</t>
  </si>
  <si>
    <t>GoodRx</t>
  </si>
  <si>
    <t>Line 16430 | Benchmark Table</t>
  </si>
  <si>
    <t>2. SUMMARY PEER GROUP MEAN AND MEDIAN BENCHMARKS (VERBATIM DISCLOSED VALUES)</t>
  </si>
  <si>
    <t>Valuation / Growth Metric</t>
  </si>
  <si>
    <t>Acorns (Implied)</t>
  </si>
  <si>
    <t>Fintech Mean</t>
  </si>
  <si>
    <t>Fintech Median</t>
  </si>
  <si>
    <t>SaaS Mean</t>
  </si>
  <si>
    <t>SaaS Median</t>
  </si>
  <si>
    <t>Internet Mean</t>
  </si>
  <si>
    <t>Internet Median</t>
  </si>
  <si>
    <t>Line 16447 | Summary Table</t>
  </si>
  <si>
    <t>Line 16448 | Summary Table</t>
  </si>
  <si>
    <t>Line 16449 | Summary Table</t>
  </si>
  <si>
    <t>Line 16450 | Summary Table</t>
  </si>
  <si>
    <t>Line 16451 | Summary Table</t>
  </si>
  <si>
    <t>Line 16452 | Summary Table</t>
  </si>
  <si>
    <t>PIPE FINANCING &amp; INVESTOR DETAIL</t>
  </si>
  <si>
    <t>PIPE Capital Structure, Named Institutional Investors, and Evolution of PIPE Financing Size from LOI to BCA</t>
  </si>
  <si>
    <t>1. PIPE FINANCING &amp; CONVERTIBLE NOTES TERMS</t>
  </si>
  <si>
    <t>PIPE Security Instrument</t>
  </si>
  <si>
    <t>Gross Proceeds ($)</t>
  </si>
  <si>
    <t>Shares Issued</t>
  </si>
  <si>
    <t>Share Price ($)</t>
  </si>
  <si>
    <t>Key Terms &amp; Instrument Notes</t>
  </si>
  <si>
    <t>PIPE Class A Common Stock</t>
  </si>
  <si>
    <t>Lines 371, 2660, 4036 | PIPE Financing</t>
  </si>
  <si>
    <t>Subscription agreements for 16,500,000 Class A shares at $10.00 per share.</t>
  </si>
  <si>
    <t>Lines 440, 2661, 2750 | Notes</t>
  </si>
  <si>
    <t>Funded in 2021 carrying 10% PIK interest; converts at $10.00 per share into 5,740,254 shares at Closing.</t>
  </si>
  <si>
    <t>Total Combined PIPE Capital</t>
  </si>
  <si>
    <t>Lines 1410-1412 | Total PIPE</t>
  </si>
  <si>
    <t>Calculated combined PIPE shares &amp; proceeds</t>
  </si>
  <si>
    <t>2. VERBATIM NAMED PIPE INVESTORS &amp; COMMITMENTS</t>
  </si>
  <si>
    <t>Named Investor / Fund</t>
  </si>
  <si>
    <t>Investment Instrument</t>
  </si>
  <si>
    <t>Commitment Amount / Role</t>
  </si>
  <si>
    <t>Affiliation &amp; Disclosed Context</t>
  </si>
  <si>
    <t>Alpha Wave Ventures, LP (Alpha Wave)</t>
  </si>
  <si>
    <t>PIPE Common Stock</t>
  </si>
  <si>
    <t>$7,500,000 (750,000 shares)</t>
  </si>
  <si>
    <t>Lines 502, 2607, 4036 | PIPE Section</t>
  </si>
  <si>
    <t>Affiliate of Sponsor (Falcon Edge Capital affiliate is investment manager of Alpha Wave).</t>
  </si>
  <si>
    <t>Declaration Partners LP (Declaration)</t>
  </si>
  <si>
    <t>Co-investor ($55M principal total with Senator)</t>
  </si>
  <si>
    <t>Lines 1744, 15622, 34915 | Background</t>
  </si>
  <si>
    <t>Entered into PIPE Convertible Notes agreement with Acorns in 2021.</t>
  </si>
  <si>
    <t>Senator Investment Group (Senator)</t>
  </si>
  <si>
    <t>Co-investor ($55M principal total with Declaration)</t>
  </si>
  <si>
    <t>Lines 1948, 15622, 34915 | Background</t>
  </si>
  <si>
    <t>Greycroft</t>
  </si>
  <si>
    <t>PIPE Common Stock / Existing Investor</t>
  </si>
  <si>
    <t>Named Institutional Investor</t>
  </si>
  <si>
    <t>Line 22548 | CEO Letter</t>
  </si>
  <si>
    <t>Disclosed in filing as existing/PIPE institutional investor.</t>
  </si>
  <si>
    <t>The Rise Fund (TPG)</t>
  </si>
  <si>
    <t>3. EVOLUTION OF PIPE FINANCING SIZE (LETTER OF INTENT VS FINAL BCA)</t>
  </si>
  <si>
    <t>Stage / Agreement</t>
  </si>
  <si>
    <t>Date executed</t>
  </si>
  <si>
    <t>PIPE Common Stock ($)</t>
  </si>
  <si>
    <t>PIPE Convertible Notes ($)</t>
  </si>
  <si>
    <t>Total PIPE Capital ($)</t>
  </si>
  <si>
    <t>Non-Binding Letter of Intent (LOI)</t>
  </si>
  <si>
    <t>March 15, 2021</t>
  </si>
  <si>
    <t>Lines 15617-15623 | LOI Terms</t>
  </si>
  <si>
    <t>Business Combination Agreement (BCA)</t>
  </si>
  <si>
    <t>May 26, 2021</t>
  </si>
  <si>
    <t>Lines 371, 4036, 15016 | BCA Terms</t>
  </si>
  <si>
    <t>PIPE Common Stock Variance / Growth</t>
  </si>
  <si>
    <t>Expansion (+13.8%)</t>
  </si>
  <si>
    <t>Calculated Variance</t>
  </si>
  <si>
    <t>SPONSOR PROMOTE &amp; GOVERNANCE STRUCTURE</t>
  </si>
  <si>
    <t>Sponsor Ownership Terms, Board Composition, Named Executive Officers, Directors, Legal Counsel, and Financial Advisors</t>
  </si>
  <si>
    <t>1. SPONSOR PROMOTE &amp; FOUNDER SHARE TERMS</t>
  </si>
  <si>
    <t>Sponsor Entity / Instrument</t>
  </si>
  <si>
    <t>Verbatim Value</t>
  </si>
  <si>
    <t>Units / Share Class</t>
  </si>
  <si>
    <t>Sponsor Agreement &amp; Forfeiture Terms</t>
  </si>
  <si>
    <t>Sponsor Entity Name</t>
  </si>
  <si>
    <t>LLC Entity</t>
  </si>
  <si>
    <t>Affiliate of Alpha Wave Ventures / Falcon Edge Capital.</t>
  </si>
  <si>
    <t>Founder Shares (Class B Ordinary Shares)</t>
  </si>
  <si>
    <t>Lines 153, 2740 | Ownership Table</t>
  </si>
  <si>
    <t>Converts 1-for-1 into New Acorns Common Stock at Closing.</t>
  </si>
  <si>
    <t>Private Placement Warrants Retained</t>
  </si>
  <si>
    <t>Warrants</t>
  </si>
  <si>
    <t>Lines 170, 15634 | Sponsor Agreement</t>
  </si>
  <si>
    <t>Retained after forfeiting 3,350,000 warrants (50% of initial 6,700,000 warrants) pursuant to Sponsor Agreement.</t>
  </si>
  <si>
    <t>Private Placement Warrants Forfeited</t>
  </si>
  <si>
    <t>Lines 15633-15634 | LOI &amp; Sponsor Agreement</t>
  </si>
  <si>
    <t>Sponsor agreed to forfeit 50% of private placement warrants immediately prior to Closing.</t>
  </si>
  <si>
    <t>2. NEW ACORNS BOARD OF DIRECTORS COMPOSITION</t>
  </si>
  <si>
    <t>Governance Parameter</t>
  </si>
  <si>
    <t>Verbatim Value in Filing</t>
  </si>
  <si>
    <t>Board Composition Framework</t>
  </si>
  <si>
    <t>Total Board Seats</t>
  </si>
  <si>
    <t>Lines 15644, 26131 | Board Structure</t>
  </si>
  <si>
    <t>Board of Directors of New Acorns will consist of 7 members.</t>
  </si>
  <si>
    <t>Acorns Board Designees</t>
  </si>
  <si>
    <t>Line 15644 | LOI &amp; BCA Terms</t>
  </si>
  <si>
    <t>Acorns designates 5 members to New Acorns Board.</t>
  </si>
  <si>
    <t>Pioneer Board Designees</t>
  </si>
  <si>
    <t>Pioneer designates 2 members to New Acorns Board.</t>
  </si>
  <si>
    <t>3. VERBATIM NAMED EXECUTIVE OFFICERS &amp; DIRECTORS</t>
  </si>
  <si>
    <t>Individual Name</t>
  </si>
  <si>
    <t>Age</t>
  </si>
  <si>
    <t>Entity</t>
  </si>
  <si>
    <t>Verbatim Position Title</t>
  </si>
  <si>
    <t>Noah Kerner</t>
  </si>
  <si>
    <t>Acorns / New Acorns</t>
  </si>
  <si>
    <t>Chief Executive Officer and Director Nominee</t>
  </si>
  <si>
    <t>Lines 26138, 26148 | Management Section</t>
  </si>
  <si>
    <t>Jasmine Lee</t>
  </si>
  <si>
    <t>Chief Operating Officer and Chief Financial Officer</t>
  </si>
  <si>
    <t>Lines 26139, 26170 | Management Section</t>
  </si>
  <si>
    <t>Manning Field</t>
  </si>
  <si>
    <t>Chief Business Officer</t>
  </si>
  <si>
    <t>Lines 26140, 26180 | Management Section</t>
  </si>
  <si>
    <t>Hugh Tamassia</t>
  </si>
  <si>
    <t>Chief Technology Officer</t>
  </si>
  <si>
    <t>Line 26141 | Management Section</t>
  </si>
  <si>
    <t>James Moorhead</t>
  </si>
  <si>
    <t>Chief Marketing Officer</t>
  </si>
  <si>
    <t>Line 26142 | Management Section</t>
  </si>
  <si>
    <t>Ashley Good</t>
  </si>
  <si>
    <t>Chief Legal Officer and Secretary</t>
  </si>
  <si>
    <t>Line 26143 | Management Section</t>
  </si>
  <si>
    <t>Patricia Gonzales</t>
  </si>
  <si>
    <t>Vice President of Human Resources</t>
  </si>
  <si>
    <t>Line 26144 | Management Section</t>
  </si>
  <si>
    <t>Walter Cruttenden</t>
  </si>
  <si>
    <t>N/A</t>
  </si>
  <si>
    <t>Co-Founder &amp; Chairman of Acorns Board</t>
  </si>
  <si>
    <t>Lines 25987, 26038 | Management Section</t>
  </si>
  <si>
    <t>Jonathan Christodoro</t>
  </si>
  <si>
    <t>Chairman of the Board of Directors</t>
  </si>
  <si>
    <t>Lines 21292, 21312 | Pioneer Management</t>
  </si>
  <si>
    <t>Rick Gerson</t>
  </si>
  <si>
    <t>Co-President</t>
  </si>
  <si>
    <t>Lines 21293, 21332 | Pioneer Management</t>
  </si>
  <si>
    <t>Oscar Salazar</t>
  </si>
  <si>
    <t>Co-President and Director</t>
  </si>
  <si>
    <t>Lines 21294, 21344 | Pioneer Management</t>
  </si>
  <si>
    <t>Ryan Khoury</t>
  </si>
  <si>
    <t>Chief Executive Officer</t>
  </si>
  <si>
    <t>Line 21295 | Pioneer Management</t>
  </si>
  <si>
    <t>Scott Carpenter</t>
  </si>
  <si>
    <t>Chief Operating Officer</t>
  </si>
  <si>
    <t>Line 21296 | Pioneer Management</t>
  </si>
  <si>
    <t>Matthew Corey</t>
  </si>
  <si>
    <t>Chief Financial Officer</t>
  </si>
  <si>
    <t>Line 21297 | Pioneer Management</t>
  </si>
  <si>
    <t>Mitchell Caplan</t>
  </si>
  <si>
    <t>Director</t>
  </si>
  <si>
    <t>Line 21298 | Pioneer Management</t>
  </si>
  <si>
    <t>Todd Davis</t>
  </si>
  <si>
    <t>Line 21299 | Pioneer Management</t>
  </si>
  <si>
    <t>MARKET OPPORTUNITY &amp; TAM — DEAL-CASE PLAN vs. REAL-WORLD OUTCOME</t>
  </si>
  <si>
    <t>Counterfactual note: 'Deal-Case Plan' = what the 2021 S-4/Investor Deck told investors. 'Real-World Outcome' = what actually happened as a private company through mid-2026 (Tracxn + web research). No OAKS-specific actuals exist since the deal never closed.</t>
  </si>
  <si>
    <t>TAM &amp; ADDRESSABLE POPULATION</t>
  </si>
  <si>
    <t>Metric</t>
  </si>
  <si>
    <t>2021 Deal-Case Figure</t>
  </si>
  <si>
    <t>2026 Status / Reconciliation</t>
  </si>
  <si>
    <t>US adults &lt;$100k HHI (core addressable pop.)</t>
  </si>
  <si>
    <t>222,000,000</t>
  </si>
  <si>
    <t>No updated figure available; underlying demand trend (68% of Gen Z/millennials prefer digital investing platforms) supports continued relevance</t>
  </si>
  <si>
    <t>Potential annual revenue from addressable pop.</t>
  </si>
  <si>
    <t>$100,000,000,000+</t>
  </si>
  <si>
    <t>Directional only — treat as illustrative ceiling, not a forecast</t>
  </si>
  <si>
    <t>Global robo-advisory market size (2026, third-party estimates)</t>
  </si>
  <si>
    <t>Not disclosed in deck</t>
  </si>
  <si>
    <t>Wide dispersion across research providers: ~$58M-$16.8B depending on methodology; consensus growth rate ~26-32% CAGR through early 2030s</t>
  </si>
  <si>
    <t>Acorns subscribers as % of core addressable population</t>
  </si>
  <si>
    <t>1.8% (4.6M / 222M implied by 2021E)</t>
  </si>
  <si>
    <t>~3.1% (6.8M actual active customers / 222M, 2026) — penetration roughly doubled but still &lt;5%</t>
  </si>
  <si>
    <t>SUBSCRIBER GROWTH: PLAN vs. ACTUAL</t>
  </si>
  <si>
    <t>Period</t>
  </si>
  <si>
    <t>2021E/A</t>
  </si>
  <si>
    <t>2022E</t>
  </si>
  <si>
    <t>2023E</t>
  </si>
  <si>
    <t>2025 Target</t>
  </si>
  <si>
    <t>2026 Actual</t>
  </si>
  <si>
    <t>Deal-Case Subscribers (M)</t>
  </si>
  <si>
    <t>Real-World Actual (M)</t>
  </si>
  <si>
    <t>Gap vs. plan (2025 target vs. 2026 actual)</t>
  </si>
  <si>
    <t>EXPANSION LEVERS: STATED PLAN vs. EXECUTION STATUS</t>
  </si>
  <si>
    <t>Lever (2021 Deck)</t>
  </si>
  <si>
    <t>Status</t>
  </si>
  <si>
    <t>Evidence</t>
  </si>
  <si>
    <t>Tier upgrades ($1→$3/$5)</t>
  </si>
  <si>
    <t>Executed (re-priced higher)</t>
  </si>
  <si>
    <t>Bronze $3 / Silver $6 / Gold $12 tiers now live</t>
  </si>
  <si>
    <t>New paid add-ons (Harvest, Debt Optimization)</t>
  </si>
  <si>
    <t>Executed</t>
  </si>
  <si>
    <t>Harvest &amp; Pillar acquired Mar/Apr 2021</t>
  </si>
  <si>
    <t>New family tiers</t>
  </si>
  <si>
    <t>Executed, then partially reversed</t>
  </si>
  <si>
    <t>GoHenry acquired Apr 2023, EarlyBird acquired May 2025, GoHenry SOLD to Barclays Jun 2026</t>
  </si>
  <si>
    <t>Strategic M&amp;A</t>
  </si>
  <si>
    <t>Executed, ongoing</t>
  </si>
  <si>
    <t>5 acquisitions 2017-2025 (Vault, Harvest, Pillar, GoHenry, EarlyBird)</t>
  </si>
  <si>
    <t>Global/geographic growth</t>
  </si>
  <si>
    <t>Executed, then contracted</t>
  </si>
  <si>
    <t>Latvia entity est. Jun 2022 ($9.07M FY24 revenue) via GoHenry; UK/EU footprint exited with GoHenry sale</t>
  </si>
  <si>
    <t>10M subscribers by 2025</t>
  </si>
  <si>
    <t>Missed</t>
  </si>
  <si>
    <t>(Not in original plan) Financial wellness suite</t>
  </si>
  <si>
    <t>New, unplanned</t>
  </si>
  <si>
    <t>(Not in original plan) Alternative distribution channels</t>
  </si>
  <si>
    <t>COMPETITIVE LANDSCAPE SNAPSHOT (2026)</t>
  </si>
  <si>
    <t>Company</t>
  </si>
  <si>
    <t>2026 Status</t>
  </si>
  <si>
    <t>Acorns (direct category leader by funding)</t>
  </si>
  <si>
    <t>$588M total equity funding vs. next-largest direct competitor Tranako at $26.4M; reportedly IPO-prepping at ~$2.2B (May 2026)</t>
  </si>
  <si>
    <t>~12.6M members (Q3 2025, +35% YoY) per one metric; chartered bank, diversified lending/investing/insurance</t>
  </si>
  <si>
    <t>Robinhood</t>
  </si>
  <si>
    <t>Enterprise value ~$122.5B (2026); MAUs fell from 18.9M (Q3'21 peak) to 11.4M (end of 2022) before recovering</t>
  </si>
  <si>
    <t>SPAC-era $3B valuation; acquired by Gen Digital for $1B (2024/25) after severe post-SPAC de-rating</t>
  </si>
  <si>
    <t>Direct micro-investing peers (Grifin, Tranako, Remynt, SpareChange)</t>
  </si>
  <si>
    <t>All sub-$30M funded; none has scaled to challenge Acorns within its own niche</t>
  </si>
  <si>
    <t>OAKS 2026 COUNTERFACTUAL — ASSUMPTION FRAMEWORK (FACT vs ASSUMPTION)</t>
  </si>
  <si>
    <t>Sequence: 2021 S-4 Assumptions -&gt; Actual Execution (2022-2026) -&gt; Industry Evolution -&gt; Competitive Positioning -&gt; Macro -&gt; Peer Multiples -&gt; EV -&gt; Equity Value -&gt; Shares -&gt; Implied Share Price. Green = sourced fact. Gold = derived assumption (labelled with rationale, see 'Scenario Model' tab).</t>
  </si>
  <si>
    <t>STEP 1 — 2021 S-4 BASELINE (FACT, verbatim from Management Projections / Deal Structure / Cap Table tabs)</t>
  </si>
  <si>
    <t>2021E</t>
  </si>
  <si>
    <t>Source</t>
  </si>
  <si>
    <t>Type</t>
  </si>
  <si>
    <t>Subscribers (M)</t>
  </si>
  <si>
    <t>S-4 Mgmt Projections tab</t>
  </si>
  <si>
    <t>FACT</t>
  </si>
  <si>
    <t>Revenue ($M)</t>
  </si>
  <si>
    <t>ARPU ($)</t>
  </si>
  <si>
    <t>Adj. EBITDA ($M)</t>
  </si>
  <si>
    <t>Implied Equity Value ($M)</t>
  </si>
  <si>
    <t>Deal Structure tab (Acorns Equity Rollover Value)</t>
  </si>
  <si>
    <t>Pro Forma Shares, No Redemption (M)</t>
  </si>
  <si>
    <t>Cap Table &amp; Ownership tab</t>
  </si>
  <si>
    <t>STEP 2 — ACTUAL EXECUTION 2022-2026 (FACT, per Tracxn / OAKS Qualitative Synthesis)</t>
  </si>
  <si>
    <t>2021 Plan</t>
  </si>
  <si>
    <t>Gap</t>
  </si>
  <si>
    <t>4.6 (2021E); 10.0 target by 2025</t>
  </si>
  <si>
    <t>6.8 (mid-2026 active customers)</t>
  </si>
  <si>
    <t>~32% shortfall vs 10M-by-2025 target, one year past target date</t>
  </si>
  <si>
    <t>OAKS Qualitative Synthesis, Sec 2/3</t>
  </si>
  <si>
    <t>Capital raised post-close</t>
  </si>
  <si>
    <t>M&amp;A completed</t>
  </si>
  <si>
    <t>Stated intent only; Harvest/Pillar already in motion pre-filing</t>
  </si>
  <si>
    <t>Harvest, Pillar (2021); GoHenry acquired Apr 2023 / SOLD to Barclays Jun 2026; EarlyBird (May 2025)</t>
  </si>
  <si>
    <t>Family-tier strategy built 2021-25, then partially unwound in 2026</t>
  </si>
  <si>
    <t>OAKS Qualitative Synthesis, Sec 3/3.1</t>
  </si>
  <si>
    <t>Tier pricing</t>
  </si>
  <si>
    <t>$1 -&gt; $3/$5, later $10/$15 bundles planned</t>
  </si>
  <si>
    <t>Bronze $3 / Silver $6 / Gold $12 (live 2026)</t>
  </si>
  <si>
    <t>OAKS Qualitative Synthesis, Sec 3</t>
  </si>
  <si>
    <t>Geographic footprint</t>
  </si>
  <si>
    <t>Not specified in deck</t>
  </si>
  <si>
    <t>Latvia entity est. Jun 2022 ($9.07M FY24 rev) via GoHenry; UK/EU exposure exited with GoHenry sale (Jun 2026)</t>
  </si>
  <si>
    <t>STEP 3-5 — INDUSTRY / COMPETITIVE / MACRO CONTEXT (FACT, current as of Jul-Aug 2026)</t>
  </si>
  <si>
    <t>Driver</t>
  </si>
  <si>
    <t>2021 Deck View</t>
  </si>
  <si>
    <t>Robo-advisory market size (global)</t>
  </si>
  <si>
    <t>Wide dispersion across providers: ~$58M-$16.8B depending on methodology; ~26-32% CAGR consensus through early 2030s</t>
  </si>
  <si>
    <t>OAKS Qualitative Synthesis, Sec 2.1</t>
  </si>
  <si>
    <t>Digital-advice adoption</t>
  </si>
  <si>
    <t>'222M underserved US adults' TAM thesis</t>
  </si>
  <si>
    <t>62% of investors prefer robo-advisory for convenience; 68% of millennials/Gen Z prefer digital platforms over advisors</t>
  </si>
  <si>
    <t>Robinhood (comp)</t>
  </si>
  <si>
    <t>FV $incl. in 2021E 20-peer comps table</t>
  </si>
  <si>
    <t>Market cap ~$81-95B (mid-2026); Q2'26 revenue $1.31B (+32% YoY); H1'26 revenue $2.38B</t>
  </si>
  <si>
    <t>Robinhood Q1/Q2 2026 8-K filings (web, Apr/Jul 2026)</t>
  </si>
  <si>
    <t>SoFi (comp)</t>
  </si>
  <si>
    <t>FV $15.1B in 2021E comps table</t>
  </si>
  <si>
    <t>Market cap ~$21.5B (Jul 2026); FY26 guide $4.75-4.85B adj. net revenue; 15.8M members (+35% YoY)</t>
  </si>
  <si>
    <t>SoFi Q2 2026 8-K (web, Jul 29 2026)</t>
  </si>
  <si>
    <t>MoneyLion (comp)</t>
  </si>
  <si>
    <t>Closest direct SPAC-era comp in 2021 table</t>
  </si>
  <si>
    <t>Acquired by Gen Digital for $1.0B, down from $3.0B original SPAC valuation</t>
  </si>
  <si>
    <t>OAKS Qualitative Synthesis, Sec 2.2</t>
  </si>
  <si>
    <t>Wealthfront (comp, closest business-model analog)</t>
  </si>
  <si>
    <t>Not in 2021 comps table</t>
  </si>
  <si>
    <t>Completed traditional-listing IPO Dec 2025 at $2.0B IPO market cap</t>
  </si>
  <si>
    <t>Tracxn Feed Report (Jul 2026), List of IPOs p.30</t>
  </si>
  <si>
    <t>Fintech VC funding environment</t>
  </si>
  <si>
    <t>Peak-ZIRP fundraising environment (2021)</t>
  </si>
  <si>
    <t>Investment Tech sector funding down -14% (3yr CAGR) / -28% (5yr CAGR); 2026 YTD run-rate well below 2021 peak</t>
  </si>
  <si>
    <t>Tracxn Feed Report (Jul 2026), p.9</t>
  </si>
  <si>
    <t>PART II — DRIVER ANALYSIS: FACTORS INFLUENCING OAKS MARKET CAP / SHARE PRICE</t>
  </si>
  <si>
    <t>Company-specific drivers</t>
  </si>
  <si>
    <t>Impact on OAKS valuation</t>
  </si>
  <si>
    <t>Evidence-based rationale</t>
  </si>
  <si>
    <t>Revenue growth</t>
  </si>
  <si>
    <t>High</t>
  </si>
  <si>
    <t>Directly scales EV via the EV/Revenue multiple; the single largest lever in this model (Base case ARPU/subscriber build).</t>
  </si>
  <si>
    <t>Customer growth</t>
  </si>
  <si>
    <t>Missed 10M-by-2025 target by ~32%; caps achievable revenue irrespective of ARPU trajectory.</t>
  </si>
  <si>
    <t>Assets under management (AUM)</t>
  </si>
  <si>
    <t>Medium</t>
  </si>
  <si>
    <t>Not disclosed for 2026; a proxy for platform scale/trust but Acorns monetizes via subscription fee, not AUM-based fee, so AUM growth is a secondary (trust/retention) signal, not a direct revenue driver.</t>
  </si>
  <si>
    <t>ARPU</t>
  </si>
  <si>
    <t>Tier re-pricing (Bronze $3/Silver $6/Gold $12) suggests realized willingness-to-pay exceeded the 2021 model; principal upside lever in Bull case.</t>
  </si>
  <si>
    <t>CAC</t>
  </si>
  <si>
    <t>New unplanned channels (celebrity marketing, vending-machine promotion in 2026) suggest organic growth plateaued, implying rising CAC — a margin/EBITDA risk not separately modeled here due to lack of disclosed unit economics.</t>
  </si>
  <si>
    <t>LTV</t>
  </si>
  <si>
    <t>Retention rate</t>
  </si>
  <si>
    <t>Qualitatively described as 'sticky engaged subscribers, low churn' in the S-4; no updated churn figure available for 2026.</t>
  </si>
  <si>
    <t>EBITDA margin</t>
  </si>
  <si>
    <t>2021 plan showed EBITDA margin improving from -54% (2021E) to -10% (2023E); the pace of continued improvement toward breakeven is a key unresolved question and a primary swing factor between scenarios.</t>
  </si>
  <si>
    <t>Cash generation</t>
  </si>
  <si>
    <t>Actual Acorns needed a fresh $300M Series F in 2022 despite the deal's ~$548M closing cash — implies the cash-burn trajectory was faster than the 2021 plan assumed.</t>
  </si>
  <si>
    <t>Strategic drivers</t>
  </si>
  <si>
    <t>Product expansion</t>
  </si>
  <si>
    <t>Harvest, Pillar, Money Manager (2025) all executed/launched; validates the diversification thesis but each adds opex before it adds proportionate revenue.</t>
  </si>
  <si>
    <t>International expansion</t>
  </si>
  <si>
    <t>Acquisitions</t>
  </si>
  <si>
    <t>5 bolt-ons in 9 years (Vault, Harvest, Pillar, GoHenry, EarlyBird); GoHenry acquire-then-divest cycle is the single most important qualitative data point in this analysis (see qualitative synthesis Sec 3.1).</t>
  </si>
  <si>
    <t>Monetization strategy</t>
  </si>
  <si>
    <t>Shift toward higher-tier subscription pricing plus financial-wellness cross-sell (Money Manager) is the core monetization lever in the Base/Bull cases.</t>
  </si>
  <si>
    <t>Capital allocation</t>
  </si>
  <si>
    <t>Public-company capital allocation (buybacks vs. M&amp;A vs. reinvestment) is untested for OAKS specifically; assumed to track actual Acorns' M&amp;A-heavy pattern.</t>
  </si>
  <si>
    <t>Sector drivers</t>
  </si>
  <si>
    <t>Fintech valuations broadly</t>
  </si>
  <si>
    <t>Sector 5yr funding CAGR of -28% (Tracxn) signals a structurally lower-multiple environment than 2021; directly informs the Bear/Base/Bull EV/Revenue anchors.</t>
  </si>
  <si>
    <t>Robo-advisory adoption</t>
  </si>
  <si>
    <t>62% of investors prefer robo-advisory for convenience (2026 survey data); structural tailwind supports the Base/Bull cases.</t>
  </si>
  <si>
    <t>Subscription-based models</t>
  </si>
  <si>
    <t>Embedded finance</t>
  </si>
  <si>
    <t>Low-Medium</t>
  </si>
  <si>
    <t>Not a core Acorns positioning; more relevant to platform/API players (e.g., Alpaca) than to a direct-to-consumer subscription app.</t>
  </si>
  <si>
    <t>AI adoption</t>
  </si>
  <si>
    <t>Pillar (AI debt-optimization) and 'Money Manager' both lean into this, but no disclosed metric quantifies AI's revenue contribution.</t>
  </si>
  <si>
    <t>Competitive intensity</t>
  </si>
  <si>
    <t>Acorns dominates its literal niche ($588M funding vs. $26.4M for next competitor) but faces the far larger threat of SoFi/Robinhood/Chime bundling investing into broader platforms.</t>
  </si>
  <si>
    <t>Macroeconomic drivers</t>
  </si>
  <si>
    <t>Interest rates</t>
  </si>
  <si>
    <t>Elevated-but-easing post-2022 hiking-cycle regime (vs. the zero-rate 2021 environment the S-4 was written in) raises the public-market discount rate/required return, pressuring achievable multiples across all scenarios.</t>
  </si>
  <si>
    <t>Inflation</t>
  </si>
  <si>
    <t>Market liquidity</t>
  </si>
  <si>
    <t>Fintech-sector funding contraction (Tracxn data) signals reduced capital availability for follow-on rounds/PIPE-style financing if OAKS needed to raise again.</t>
  </si>
  <si>
    <t>Equity-market sentiment</t>
  </si>
  <si>
    <t>Broad post-SPAC fintech de-rating (Robinhood -85% 2021-2023 trough; MoneyLion $3B-&gt;$1B) is the central reason the Bear case exists at all — same macro period, regardless of company execution.</t>
  </si>
  <si>
    <t>Monetary policy</t>
  </si>
  <si>
    <t>Same driver as interest rates; included separately per the brief's driver taxonomy.</t>
  </si>
  <si>
    <t>Public-market drivers</t>
  </si>
  <si>
    <t>SPAC sentiment</t>
  </si>
  <si>
    <t>SPAC vehicle was 'thoroughly discredited industry-wide by 2022-2023' (qualitative synthesis); Acorns' own 2026 IPO path deliberately avoids a SPAC, which is itself evidence of how negatively this driver would have weighed on OAKS in 2022-23.</t>
  </si>
  <si>
    <t>Institutional ownership</t>
  </si>
  <si>
    <t>PIPE investors (Wellington, BlackRock, Declaration, Senator) reappeared as actual Series F investors in 2022 — signals continued institutional conviction in the underlying business independent of vehicle.</t>
  </si>
  <si>
    <t>Public-market volatility</t>
  </si>
  <si>
    <t>A newly public, EBITDA-negative OAKS would have listed directly into the 2022 rate-hiking/de-rating cycle — the single largest risk factor to the Bear case.</t>
  </si>
  <si>
    <t>Analyst coverage</t>
  </si>
  <si>
    <t>No basis to project initiation coverage quality; noted as a driver per the taxonomy but not separately modeled.</t>
  </si>
  <si>
    <t>PART I — VALUATION METHODOLOGY RANKING (most to least suitable for OAKS)</t>
  </si>
  <si>
    <t>Rank</t>
  </si>
  <si>
    <t>Methodology</t>
  </si>
  <si>
    <t>Rationale</t>
  </si>
  <si>
    <t>Comparable Company Analysis (CCA) — EV/Revenue</t>
  </si>
  <si>
    <t>Best primary method. Acorns/OAKS is pre-profitability (S-4's own 2023E EBITDA still -$31M), so revenue multiples are the only metric with a full, disclosed peer set (the S-4 itself uses EV/Revenue as its primary comp metric across all 20 peers). EV/EBITDA is not usable given negative EBITDA in every disclosed year. P/S is directionally similar to EV/Revenue but ignores balance-sheet cash, which matters given OAKS would carry meaningful SPAC-trust cash. Customer-based multiples (EV/subscriber) are a useful cross-check but have no disclosed peer benchmark in either the S-4 or the 2026 sources reviewed.</t>
  </si>
  <si>
    <t>Scenario Analysis (Bear/Base/Bull)</t>
  </si>
  <si>
    <t>Essential given the wide dispersion in every input — subscriber counts were missed by ~32%, ARPU path post-2023 is unobserved, and peer multiples ranged from ~4x (SoFi) to ~17x (Robinhood) in mid-2026. A single-point estimate would misrepresent the genuine uncertainty; scenario analysis is the correct way to bound it.</t>
  </si>
  <si>
    <t>Discounted Cash Flow (DCF)</t>
  </si>
  <si>
    <t>Directionally useful but weakly supported by evidence: no disclosed cash-flow projections exist past CY2023E, and terminal-value assumptions this far out would be almost entirely speculative for a company that was still burning ~$33M/quarter-equivalent cash as of the last disclosed projection. Included qualitatively (see notes below) but not run as a primary quantitative method, consistent with the instruction to avoid unsupported precision.</t>
  </si>
  <si>
    <t>Relative Performance Analysis (vs. Robinhood/SoFi/Betterment/Wealthfront/Stash/MoneyLion)</t>
  </si>
  <si>
    <t>Valuable qualitative/directional context (informs the Bear/Base/Bull multiple anchors) but not a standalone valuation method — it explains *why* a multiple should sit where it does rather than independently producing a value. Folded into the CCA methodology above rather than run separately.</t>
  </si>
  <si>
    <t>Precedent Transaction Analysis</t>
  </si>
  <si>
    <t>Least suitable as a standalone method here. The only true precedent transaction in this space is MoneyLion's acquisition by Gen Digital (SPAC $3B -&gt; $1.0B acquisition price), which is a single data point, not a distribution, and reflects Gen Digital's specific strategic rationale (cybersecurity/identity cross-sell) rather than a pure financial-buyer multiple. Referenced as a cautionary data point, not used to derive OAKS's implied value.</t>
  </si>
  <si>
    <t>PART III — 2026 PUBLIC PEER COMPARABLE ANALYSIS (Fact, sourced from company filings / market data, Jul-Aug 2026)</t>
  </si>
  <si>
    <t>Note: peer set differs materially from the S-4's 2021 comps table because several 2021 peers (PayPal, Square/Block, Shopify, Adyen, Affirm, Afterpay, XP, Coupa, Avalara, Anaplan, Q2, nCino, Duck Creek, Snapchat, Roku, Pinterest, GoodRx) are diversified platforms or SaaS names with limited relevance to a subscription micro-investing model. Retained/added: Robinhood, SoFi, MoneyLion (as a transaction precedent), Wealthfront (closest direct business-model analog, IPO'd Dec 2025), Betterment/Stash (private, referenced qualitatively, no disclosed financials).</t>
  </si>
  <si>
    <t>Market Cap ($B)</t>
  </si>
  <si>
    <t>FY26E Revenue ($B)</t>
  </si>
  <si>
    <t>Rev. Growth YoY</t>
  </si>
  <si>
    <t>EV/Revenue (x)</t>
  </si>
  <si>
    <t>Profitability</t>
  </si>
  <si>
    <t>Business Model Fit to Acorns</t>
  </si>
  <si>
    <t>Robinhood (HOOD)</t>
  </si>
  <si>
    <t>~20-32% (Q2'26 +32% YoY)</t>
  </si>
  <si>
    <t>GAAP profitable (Q1'26 net income $346M; Adj. EBITDA margin ~50%)</t>
  </si>
  <si>
    <t>Low-Medium — trading/crypto/prediction-market mix, not subscription-led</t>
  </si>
  <si>
    <t>Robinhood Q1/Q2 2026 8-K (SEC EDGAR, web)</t>
  </si>
  <si>
    <t>SoFi (SOFI)</t>
  </si>
  <si>
    <t>~40-42% (Q2'26 +42% YoY)</t>
  </si>
  <si>
    <t>GAAP profitable (Q1'26 net income $167M; Q2'26 $157M)</t>
  </si>
  <si>
    <t>Low — chartered bank / lending-led 'everything app', not investing-first</t>
  </si>
  <si>
    <t>SoFi Q1/Q2 2026 8-K (SEC EDGAR, web)</t>
  </si>
  <si>
    <t>Wealthfront (private-&gt;IPO Dec-25)</t>
  </si>
  <si>
    <t>MoneyLion (acquired)</t>
  </si>
  <si>
    <t>n/d</t>
  </si>
  <si>
    <t>Betterment (private)</t>
  </si>
  <si>
    <t>Stash (private)</t>
  </si>
  <si>
    <t>DERIVED EV/REVENUE RANGE FOR OAKS SCENARIO APPLICATION (see Scenario Model tab)</t>
  </si>
  <si>
    <t>Anchor</t>
  </si>
  <si>
    <t>Bear anchor</t>
  </si>
  <si>
    <t>SoFi-like multiple; reflects a lending/bank-style de-rating if OAKS never differentiated beyond deposit-taking economics, or if growth stalled near the 6.8M-subscriber actual trajectory. ASSUMPTION.</t>
  </si>
  <si>
    <t>Base anchor</t>
  </si>
  <si>
    <t>Blend between SoFi (~4.5x) and Wealthfront's implied IPO multiple; reflects a subscription micro-investing model maturing in line with actual (not planned) subscriber growth. ASSUMPTION.</t>
  </si>
  <si>
    <t>Bull anchor</t>
  </si>
  <si>
    <t>Robinhood-like premium multiple; reflects successful diversification into a broader 'financial wellness operating system' (Money Manager, family tier) re-rating the stock toward platform economics. ASSUMPTION.</t>
  </si>
  <si>
    <t>PART V/VI — SCENARIO MODEL: BOTTOM-UP REVENUE BUILD -&gt; EV -&gt; EQUITY VALUE -&gt; IMPLIED SHARE PRICE</t>
  </si>
  <si>
    <t>All figures below CY2021E are FACT (sourced). All figures for 2024E-2026E and all valuation-stage inputs are ASSUMPTIONS, built bottom-up from actual subscriber counts (fact) and an assumed ARPU trajectory that decelerates in line with the deceleration pattern management itself disclosed in the S-4 (Revenue growth 77%-&gt;65%-&gt;49%; ARPU growth ~24%-&gt;~13%). This is the single most load-bearing assumption in the model and is flagged accordingly.</t>
  </si>
  <si>
    <t>1. SUBSCRIBER &amp; ARPU BUILD (2021 FACT -&gt; 2026 FACT subscriber count -&gt; ASSUMED ARPU path)</t>
  </si>
  <si>
    <t>2021A</t>
  </si>
  <si>
    <t>2022E(plan)</t>
  </si>
  <si>
    <t>2023E(plan)</t>
  </si>
  <si>
    <t>2024E(assum.)</t>
  </si>
  <si>
    <t>2025E(assum.)</t>
  </si>
  <si>
    <t>2026E(assum.)</t>
  </si>
  <si>
    <t xml:space="preserve">  Note: 2024E/2025E subscriber path is interpolated (ASSUMPTION) between the 8.1M 2023E plan figure and the 6.8M 2026 actual (FACT); no disclosed quarterly subscriber series exists for the interim years.</t>
  </si>
  <si>
    <t xml:space="preserve">  Note: ARPU deceleration (8% -&gt; 6% -&gt; 5%) mirrors the deceleration slope management itself disclosed for 2022E/2023E ARPU growth (23.8% -&gt; 12.6%). ASSUMPTION, not disclosed.</t>
  </si>
  <si>
    <t>Revenue ($M) = Subscribers x ARPU</t>
  </si>
  <si>
    <t>2. BEAR / BASE / BULL 2026E REVENUE &amp; EV/REVENUE MULTIPLE (ASSUMPTIONS, see rationale in '2026 Peer Comps' tab)</t>
  </si>
  <si>
    <t>Scenario</t>
  </si>
  <si>
    <t>Bear</t>
  </si>
  <si>
    <t>-18% vs base build (subscriber growth stalls near 6.5M, ARPU growth compresses to ~2-3%/yr as competitive tier pressure bites)</t>
  </si>
  <si>
    <t>Base</t>
  </si>
  <si>
    <t>Bottom-up build above (uses actual 6.8M subscriber count, FACT, with assumed ARPU deceleration path).</t>
  </si>
  <si>
    <t>Bull</t>
  </si>
  <si>
    <t>+20% vs base build (Money Manager cross-sell + faster family-tier monetization lift ARPU growth back toward 8-10%/yr)</t>
  </si>
  <si>
    <t>3. SHARES OUTSTANDING &amp; IMPLIED SHARE PRICE (ASSUMPTIONS built off 2021 S-4 FACT share count)</t>
  </si>
  <si>
    <t>2021 Close Shares, No-Redemption (M) [FACT]</t>
  </si>
  <si>
    <t>Assumed Dilution 2021-2026</t>
  </si>
  <si>
    <t>2026E Shares Outstanding (M)</t>
  </si>
  <si>
    <t>Equity Value ($M)</t>
  </si>
  <si>
    <t>Implied Share Price ($)</t>
  </si>
  <si>
    <t>+17% (stock-funded GoHenry-scale acquisition + higher SBC in a strong-currency environment)</t>
  </si>
  <si>
    <t>4. TOP-DOWN MARKET-GROWTH CROSS-CHECK (addresses reviewer comment: does the bottom-up build imply a growth rate consistent with the disclosed sector TAM CAGR?)</t>
  </si>
  <si>
    <t>Sector CAGR of 26-32% is disclosed in the OAKS Qualitative Synthesis (robo-advisory market sizing, Sec 2.1), consistent across multiple third-party estimates. This block re-derives 2026E revenue top-down (2021A revenue grown at an assumed OAKS-specific CAGR within/around that band) and compares it to the bottom-up build in Section 1-2 above, as an independent sanity check rather than a second free parameter.</t>
  </si>
  <si>
    <t>OAKS revenue CAGR assumption (2021A-2026E)</t>
  </si>
  <si>
    <t>Rationale (vs. 26-32% sector CAGR)</t>
  </si>
  <si>
    <t>2021A Revenue ($M) [FACT]</t>
  </si>
  <si>
    <t>Top-down 2026E Revenue ($M)</t>
  </si>
  <si>
    <t>Bottom-up 2026E Revenue ($M)</t>
  </si>
  <si>
    <t>Convergence</t>
  </si>
  <si>
    <t>Below-market growth (18% vs 26-32% sector): consistent with the ~32% subscriber-target miss - OAKS loses relative share within a faster-growing category.</t>
  </si>
  <si>
    <t>Still below-market (22% vs 26-32%): partial share loss, consistent with the actual 6.8M-subscriber trajectory falling short of plan while the category itself keeps compounding faster.</t>
  </si>
  <si>
    <t>At the low end of market growth (28%, within the 26-32% band): share stabilizes as Money Manager/family-tier cross-sell offsets the earlier subscriber shortfall.</t>
  </si>
  <si>
    <t>Read: 'Convergence' = % difference between the top-down (market-CAGR-based) and bottom-up (subscriber x ARPU) revenue estimates for the same scenario. All three converge within ~3-6%, which is the evidentiary basis for treating the bottom-up build as reasonable rather than the product of an unconstrained, cherry-picked ARPU path. The Bear/Base cases imply OAKS grows SLOWER than the overall market (i.e., loses share) - directly consistent with the ~32% subscriber-target miss documented in Step 2 of the Assumption Framework tab. Only the Bull case assumes OAKS keeps pace with the category.</t>
  </si>
  <si>
    <t>PART VII — FINAL OUTPUT TABLES</t>
  </si>
  <si>
    <t>TABLE 1 — KEY ASSUMPTIONS</t>
  </si>
  <si>
    <t>2026E Revenue ($M)</t>
  </si>
  <si>
    <t>2026 Subscribers (M) [FACT, all cases]</t>
  </si>
  <si>
    <t>Implied 2026E ARPU ($)</t>
  </si>
  <si>
    <t>EV/Revenue multiple</t>
  </si>
  <si>
    <t>Net cash assumption ($M)</t>
  </si>
  <si>
    <t>Share dilution assumption vs. 2021 close</t>
  </si>
  <si>
    <t>TABLE 2 — VALUATION</t>
  </si>
  <si>
    <t>Enterprise value ($M)</t>
  </si>
  <si>
    <t>Equity value ($M)</t>
  </si>
  <si>
    <t>Shares outstanding, 2026E (M)</t>
  </si>
  <si>
    <t>Implied share price ($)</t>
  </si>
  <si>
    <t>Implied return vs. $10.00 deal price</t>
  </si>
  <si>
    <t>TABLE 3 — SENSITIVITY ANALYSIS (qualitative direction of impact; base case as anchor)</t>
  </si>
  <si>
    <t>Variable</t>
  </si>
  <si>
    <t>Impact</t>
  </si>
  <si>
    <t>Revenue growth (subscriber count)</t>
  </si>
  <si>
    <t>Highest-sensitivity variable. Every +/-10% change in 2026E subscriber count moves revenue, and therefore EV, by the same +/-10% at a constant multiple (~+/-$167M EV at the 7x base multiple) — larger than any single multiple-assumption swing in this model.</t>
  </si>
  <si>
    <t>User growth (ARPU path)</t>
  </si>
  <si>
    <t>Second-highest sensitivity. The compounding ARPU-deceleration assumption (8%-&gt;6%-&gt;5%) is unobserved past 2023E; a flat 10%/yr ARPU CAGR (closer to the 2021 plan's pace) would raise 2026E revenue ~15-20% above the Base case build.</t>
  </si>
  <si>
    <t>Multiple expansion/compression</t>
  </si>
  <si>
    <t>Single largest swing factor between scenarios by design: moving from 4x (Bear) to 12x (Bull) at the same revenue level alone produces a 3x spread in Enterprise Value, larger than the revenue-scenario spread itself.</t>
  </si>
  <si>
    <t>Market sentiment (SPAC/fintech de-rating risk)</t>
  </si>
  <si>
    <t>The qualitative synthesis (Sec 4) argues this is the dominant real-world risk for 2022-2023 specifically — nearly every SPAC-era fintech peer fell 70-85% in that window on sentiment alone, independent of execution quality.</t>
  </si>
  <si>
    <t>TABLE 4 — MARKET POSITIONING (2026 market cap / valuation, $B)</t>
  </si>
  <si>
    <t>Value ($B)</t>
  </si>
  <si>
    <t>OAKS — Bear</t>
  </si>
  <si>
    <t>OAKS — Base</t>
  </si>
  <si>
    <t>OAKS — Bull</t>
  </si>
  <si>
    <t>Wealthfront (IPO Dec-25)</t>
  </si>
  <si>
    <t>DOCUMENT AUDIT LOG, CONFLICTING FIGURES, AND DATA GAPS</t>
  </si>
  <si>
    <t>Search Audit Log Across 57,236 Lines of Form S-4, Rule 3 Conflicting Figures Log, and Rule 1 Unverifiable/Excluded Data Log</t>
  </si>
  <si>
    <t>1. AUDIT LOG OF SEARCHED DOCUMENT SECTIONS</t>
  </si>
  <si>
    <t>Search Topic / Category</t>
  </si>
  <si>
    <t>Line Range Searched</t>
  </si>
  <si>
    <t>Primary Section Heading</t>
  </si>
  <si>
    <t>Keywords / Terms Searched</t>
  </si>
  <si>
    <t>Verified Data Sourced</t>
  </si>
  <si>
    <t>SEC Registration Fee Table</t>
  </si>
  <si>
    <t>Lines 127 - 185</t>
  </si>
  <si>
    <t>CALCULATION OF REGISTRATION FEE</t>
  </si>
  <si>
    <t>Registration Fee, 179,456,611, $194,221</t>
  </si>
  <si>
    <t>Registered share counts, offering prices, and SEC filing fee breakdown.</t>
  </si>
  <si>
    <t>Prospectus Deal Summary</t>
  </si>
  <si>
    <t>Lines 1380 - 1435</t>
  </si>
  <si>
    <t>PROXY STATEMENT / PROSPECTUS SUMMARY</t>
  </si>
  <si>
    <t>128,423,746, 64%, 165 million, PIPE</t>
  </si>
  <si>
    <t>Initial pro forma ownership breakdown and transaction summary.</t>
  </si>
  <si>
    <t>Selected Definitions</t>
  </si>
  <si>
    <t>Lines 1630 - 1890</t>
  </si>
  <si>
    <t>SELECTED DEFINITIONS</t>
  </si>
  <si>
    <t>Acorns Equity Value, $1.5 billion, Sponsor</t>
  </si>
  <si>
    <t>Verbatim defined terms including Acorns Equity Value of $1.5 billion.</t>
  </si>
  <si>
    <t>Material Terms of Combination</t>
  </si>
  <si>
    <t>Lines 2005 - 2080</t>
  </si>
  <si>
    <t>SUMMARY OF THE MATERIAL TERMS</t>
  </si>
  <si>
    <t>128,423,746, termination date</t>
  </si>
  <si>
    <t>Material terms, closing structure, and termination provisions.</t>
  </si>
  <si>
    <t>Pro Forma Ownership Table</t>
  </si>
  <si>
    <t>Lines 2730 - 2786</t>
  </si>
  <si>
    <t>UNAUDITED PRO FORMA COMMON STOCK OWNERSHIP</t>
  </si>
  <si>
    <t>140,835,687, 66.0%, 150,000,000, 77.1%</t>
  </si>
  <si>
    <t>Full pro forma ownership table under No Redemption and Max Redemption.</t>
  </si>
  <si>
    <t>Historical Statements of Operations</t>
  </si>
  <si>
    <t>Lines 30844-30875, 32446-32476</t>
  </si>
  <si>
    <t>CONSOLIDATED STATEMENTS OF OPERATIONS</t>
  </si>
  <si>
    <t>Revenue, Total costs and expenses, Net loss</t>
  </si>
  <si>
    <t>Full historical financial statements for FY19, FY20, 6M Mar 31 2020/2021.</t>
  </si>
  <si>
    <t>Lines 16809 - 16850</t>
  </si>
  <si>
    <t>CERTAIN ACORNS FORECASTS / PROJECTIONS</t>
  </si>
  <si>
    <t>Subscribers, Revenue, ARPU, EBITDA, Cash</t>
  </si>
  <si>
    <t>Management forecast table (CY2021E-2023E) and footnotes.</t>
  </si>
  <si>
    <t>Valuation Benchmarking</t>
  </si>
  <si>
    <t>Lines 16408 - 16458</t>
  </si>
  <si>
    <t>VALUATION BENCHMARKING</t>
  </si>
  <si>
    <t>Fintech Comparables, SaaS, Adyen, Coupa, PayPal, Shopify, Square</t>
  </si>
  <si>
    <t>Complete peer group table (20 companies) and mean/median summary.</t>
  </si>
  <si>
    <t>Background of Transaction &amp; LOI</t>
  </si>
  <si>
    <t>Lines 15500 - 15850</t>
  </si>
  <si>
    <t>BACKGROUND OF THE BUSINESS COMBINATION</t>
  </si>
  <si>
    <t>March 15, 2021, $145 million, LOI, Citi</t>
  </si>
  <si>
    <t>PIPE evolution timeline ($145M LOI vs $165M BCA), advisors, and dates.</t>
  </si>
  <si>
    <t>BCA Termination Conditions</t>
  </si>
  <si>
    <t>Lines 14847 - 14885</t>
  </si>
  <si>
    <t>THE BUSINESS COMBINATION AGREEMENT - TERMINATION</t>
  </si>
  <si>
    <t>January 15, 2022, Termination Date</t>
  </si>
  <si>
    <t>Outside Date / Termination Date of January 15, 2022.</t>
  </si>
  <si>
    <t>2. LOG OF CONFLICTING FIGURES IN DOCUMENT (RULE 3 DISCLOSURE)</t>
  </si>
  <si>
    <t>Metric Name</t>
  </si>
  <si>
    <t>First Disclosed Value</t>
  </si>
  <si>
    <t>Section 1 Source</t>
  </si>
  <si>
    <t>Second Disclosed Value</t>
  </si>
  <si>
    <t>Section 2 Source</t>
  </si>
  <si>
    <t>Detailed Document Reconciliation &amp; Explanation</t>
  </si>
  <si>
    <t>Acorns Pro Forma Share Count &amp; Ownership %</t>
  </si>
  <si>
    <t>128,423,746 shares (~64.0%)</t>
  </si>
  <si>
    <t>Lines 154, 1400, 2021, 5706 | Fee Table &amp; Prospectus Summary</t>
  </si>
  <si>
    <t>140,835,687 shares (66.0%) / 150,000,000 shares (77.1%)</t>
  </si>
  <si>
    <t>Lines 2708, 2739, 11795 | Beneficial Ownership Table</t>
  </si>
  <si>
    <t>The prospectus summary / registration fee table uses 128,423,746 as the issued common stock excluding unissued options/RSUs/warrants or after cash election. In contrast, the Beneficial Ownership table footnote (2) explicitly includes all underlying options, warrants, and RSUs on an if-converted basis (140,835,687 net of $91.6M cash election, or 150,000,000 gross assuming $0 cash election).</t>
  </si>
  <si>
    <t>3. EXPLICIT LOG OF UNVERIFIABLE / EXCLUDED DATA POINTS (RULE 1 DATA GAPS)</t>
  </si>
  <si>
    <t>Requested / Expected Metric</t>
  </si>
  <si>
    <t>Status in Filing</t>
  </si>
  <si>
    <t>Reason for Exclusion / Data Gap</t>
  </si>
  <si>
    <t>Source Audit Verification</t>
  </si>
  <si>
    <t>Post-Closing Deal Execution Date</t>
  </si>
  <si>
    <t>Excluded / Left Blank</t>
  </si>
  <si>
    <t>The filing is a pre-close Form S-4 registration statement filed June 22, 2021. The actual closing did not occur, and the deal was terminated in Jan 2022. No post-closing execution date exists in S-4 text.</t>
  </si>
  <si>
    <t>Grep search Closing Date yields only blank placeholder lines like date 2021.</t>
  </si>
  <si>
    <t>Long-Term Financial Forecasts (Post-CY2023)</t>
  </si>
  <si>
    <t>Management projections disclosed in the filing cover only CY2021E through CY2023E. No forecasts for CY2024E onwards are contained in the S-4 text.</t>
  </si>
  <si>
    <t>Lines 16813-16830 contain only CY2021E, CY2022E, CY2023E columns.</t>
  </si>
  <si>
    <t>Line-by-Line Breakdown of Other PIPE Investors</t>
  </si>
  <si>
    <t>While Alpha Wave ($7.5M), Declaration, and Senator are named, the individual dollar allocations for other institutional PIPE investors are aggregated into the $165M / $55M totals without a full fund-by-fund table.</t>
  </si>
  <si>
    <t>Line 1425 groups all non-Alpha Wave investors under Other PIPE Investors.</t>
  </si>
  <si>
    <t>OAKS SHADOW STOCK PRICE TREND — HYPOTHETICAL LISTING (Jan 15, 2022) TO TODAY (Aug 2026)</t>
  </si>
  <si>
    <t>METHOD 3 (blended): shape/volatility from a real, equal-weighted peer basket (Robinhood + SoFi), rebased and applied to OAKS's $10.00 hypothetical listing price, then calibrated so the endpoint reconciles with the fundamentals-based Base case ($10.72, from 'Scenario Model'/'Output Tables'). This is a RECONSTRUCTION, not real trading data — OAKS never listed. Hypothetical listing date = the BCA's own Outside Date, Jan 15, 2022 (Deal Structure tab, cell F26) — the date the deal terminated instead of closing.</t>
  </si>
  <si>
    <t>1. PEER ANCHOR PRICES (sourced closes / known highs-lows; FACT = specific cited date, ESTIMATE = interpolated from an approximate/general annual figure)</t>
  </si>
  <si>
    <t>Robinhood date</t>
  </si>
  <si>
    <t>Price ($)</t>
  </si>
  <si>
    <t>Source / type</t>
  </si>
  <si>
    <t>SoFi date</t>
  </si>
  <si>
    <t>FACT — Macrotrends annual table (2022 Year Open)</t>
  </si>
  <si>
    <t>ESTIMATE — Jan 7'22 close $13.74; Q4-21 range $14.27-$23.29 (Morgan Stanley 424B2)</t>
  </si>
  <si>
    <t>FACT — all-time low (TradingView)</t>
  </si>
  <si>
    <t>FACT — Macrotrends annual close</t>
  </si>
  <si>
    <t>ESTIMATE — near Dec-22 low</t>
  </si>
  <si>
    <t>ESTIMATE — general 2023 recovery trend, no single-date source captured</t>
  </si>
  <si>
    <t>ESTIMATE — general 2024 rally trend, no single-date source captured</t>
  </si>
  <si>
    <t>ESTIMATE — blend of Jul-2026 quotes ($90-$108 across sources)</t>
  </si>
  <si>
    <t>FACT — Macrotrends, Jul 28 2026 close</t>
  </si>
  <si>
    <t>2. WEIGHTING &amp; CALIBRATION ASSUMPTIONS</t>
  </si>
  <si>
    <t>Peer weight — Robinhood</t>
  </si>
  <si>
    <t>ASSUMPTION: equal-weighted basket. NOTE (see cell C19): Robinhood's 2024-25 re-rating reflects crypto/prediction-market/options diversification that Acorns did NOT pursue in real life, so an equal-weighted raw peer path likely overstates OAKS's actual trajectory before calibration.</t>
  </si>
  <si>
    <t>Peer weight — SoFi</t>
  </si>
  <si>
    <t>Hypothetical listing date</t>
  </si>
  <si>
    <t>FACT — BCA Outside Date / termination date (Deal Structure tab, F26).</t>
  </si>
  <si>
    <t>Listing price</t>
  </si>
  <si>
    <t>FACT — standard SPAC reference/unit price, consistent with the S-4's own per-share terms.</t>
  </si>
  <si>
    <t>Endpoint calibration target</t>
  </si>
  <si>
    <t>Base-case implied share price from the fundamentals model (Output Tables tab, Table 2). The blended trend line's final month is calibrated toward this value rather than left to drift wherever the raw peer average lands.</t>
  </si>
  <si>
    <t>3. MONTHLY INTERPOLATION &amp; BLENDED SHADOW PRICE (fully formula-driven — every cell traceable to Section 1/2 inputs)</t>
  </si>
  <si>
    <t>Month-end</t>
  </si>
  <si>
    <t>HOOD interp. ($)</t>
  </si>
  <si>
    <t>SOFI interp. ($)</t>
  </si>
  <si>
    <t>HOOD index (=100 @ listing)</t>
  </si>
  <si>
    <t>SOFI index (=100 @ listing)</t>
  </si>
  <si>
    <t>Blended peer index</t>
  </si>
  <si>
    <t>Raw peer-beta OAKS price ($)</t>
  </si>
  <si>
    <t>Calibration ramp</t>
  </si>
  <si>
    <t>Calibrated OAKS shadow price ($)</t>
  </si>
  <si>
    <t>4. KNOWN MILESTONES (reference points only — NOT forced into the interpolation; illiquid private marks are not evidence of what a liquid public stock would trade at, but are useful sanity checks)</t>
  </si>
  <si>
    <t>Event</t>
  </si>
  <si>
    <t>Implied per-share value ($)</t>
  </si>
  <si>
    <t>Basis</t>
  </si>
  <si>
    <t>5. COMPLETE METHODOLOGY (plain-English walkthrough of every formula above)</t>
  </si>
  <si>
    <t>Step 1 - Anchor prices (Section 1)</t>
  </si>
  <si>
    <t>For Robinhood and SoFi separately, record 6-8 real, sourced closing prices at meaningful dates (year-ends, all-time highs/lows, and the latest available quote). These are the only real market data pulled - deliberately sparse so as not to require pulling daily/weekly data for 55 months x 2 stocks.</t>
  </si>
  <si>
    <t>Step 2 - Monthly interpolation (Section 3, cols B-C)</t>
  </si>
  <si>
    <t>For every month-end from Jan-2022 to Jul-2026, find which two anchor dates bracket it, then GEOMETRICALLY interpolate between them: price = P_lo x (P_hi/P_lo)^((Date-D_lo)/(D_hi-D_lo)). Geometric (not linear) interpolation is used because stock returns compound multiplicatively, not additively - this is the same logic as CAGR. Implemented as a nested IF() chain referencing the anchor cells directly (formula shown in cell B25 as an example) - no LET/MAXIFS/array formulas, for maximum compatibility.</t>
  </si>
  <si>
    <t>Step 3 - Rebased indices (cols D-E)</t>
  </si>
  <si>
    <t>Each peer's interpolated monthly price is divided by its own price in the first month (Jan-2022) and multiplied by 100, so both peers start at an index of 100 regardless of their different absolute share prices. This isolates RETURNS (the relevant signal) from price LEVELS (irrelevant - Acorns' $10.00 listing price has nothing to do with Robinhood's $18 or SoFi's $14 starting price).</t>
  </si>
  <si>
    <t>Step 4 - Blended peer index (col F)</t>
  </si>
  <si>
    <t>Weighted average of the two rebased indices, using the weights in Section 2 (B17:B18, default 50/50). This produces a single composite 'how did SPAC-era consumer fintech trade' index.</t>
  </si>
  <si>
    <t>Step 5 - Raw peer-beta OAKS price (col G)</t>
  </si>
  <si>
    <t>OAKS's $10.00 listing price (Section 2, B20) multiplied by the blended index / 100. This is the pure 'if OAKS traded exactly like the average of these two peers' path - and it overshoots by mid-2025 because Robinhood's 2024-25 rally reflects crypto/prediction-market/options diversification Acorns never actually pursued (flagged in cell C17).</t>
  </si>
  <si>
    <t>Step 6 - Calibration ramp (col H)</t>
  </si>
  <si>
    <t>A linear ramp from 1.00x (month 1) to (Endpoint calibration target / raw peer-beta price in the final month) at month 55. Economic rationale: early post-listing, generic SPAC-era fintech sentiment is a reasonable proxy for an untested public OAKS; by 2025-2026, OAKS-specific execution (captured in the fundamentals-based Bear/Base/Bull model) should matter more than generic peer beta, so the weight on 'peer tracking' should decay toward the fundamentals-based estimate over time.</t>
  </si>
  <si>
    <t>Step 7 - Calibrated shadow price (col I)</t>
  </si>
  <si>
    <t>Raw peer-beta price (col G) x Calibration ramp (col H). This is the headline Method-3 trend line: real peer volatility and shape, gradually re-anchored to the independently-derived Base-case fundamental value by the final month, exactly per the Output Tables tab.</t>
  </si>
  <si>
    <t>Honest limitation</t>
  </si>
  <si>
    <t>This entire sheet is a RECONSTRUCTION, not observed data. Two peers is a small basket; several 2023-2024 SoFi anchor points are estimates rather than dated citations (flagged in Section 1); the calibration ramp is a modeling choice, not an empirical finding. Treat the resulting line as illustrative of plausible SHAPE and VOLATILITY, not as a precise historical share price.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</si>
</sst>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0.0"/>
    <numFmt numFmtId="165" formatCode="\$#,##0"/>
    <numFmt numFmtId="166" formatCode="0.0%"/>
    <numFmt numFmtId="167" formatCode="\$#,##0.00"/>
    <numFmt numFmtId="168" formatCode="\$#,##0;&quot;($&quot;#,##0\);\-"/>
    <numFmt numFmtId="169" formatCode="\$#,##0.00;&quot;($&quot;#,##0.00\);\-"/>
    <numFmt numFmtId="170" formatCode="#,##0.0"/>
    <numFmt numFmtId="171" formatCode="\$#,##0.0"/>
    <numFmt numFmtId="172" formatCode="\$#,##0.0;&quot;($&quot;#,##0.0\);\-"/>
    <numFmt numFmtId="173" formatCode="0.0\x"/>
    <numFmt numFmtId="174" formatCode="mmm\-yyyy"/>
  </numFmts>
  <fonts count="26" x14ac:knownFonts="1">
    <font>
      <sz val="11"/>
      <color theme="1"/>
      <name val="Calibri"/>
      <family val="2"/>
      <charset val="1"/>
    </font>
    <font>
      <b/>
      <sz val="11"/>
      <color rgb="FF1B365D"/>
      <name val="Calibri"/>
      <charset val="1"/>
    </font>
    <font>
      <b/>
      <sz val="16"/>
      <color rgb="FF00204F"/>
      <name val="Calibri"/>
      <family val="2"/>
      <charset val="1"/>
    </font>
    <font>
      <i/>
      <sz val="11"/>
      <color rgb="FF595959"/>
      <name val="Calibri"/>
      <charset val="1"/>
    </font>
    <font>
      <b/>
      <sz val="12"/>
      <color rgb="FF74C947"/>
      <name val="Calibri"/>
      <family val="2"/>
      <charset val="1"/>
    </font>
    <font>
      <sz val="9.5"/>
      <color rgb="FF000000"/>
      <name val="Calibri"/>
      <charset val="1"/>
    </font>
    <font>
      <b/>
      <sz val="11"/>
      <name val="Calibri"/>
      <family val="2"/>
      <charset val="1"/>
    </font>
    <font>
      <b/>
      <sz val="11"/>
      <color rgb="FF000000"/>
      <name val="Calibri"/>
      <charset val="1"/>
    </font>
    <font>
      <sz val="11"/>
      <color rgb="FF262626"/>
      <name val="Calibri"/>
      <charset val="1"/>
    </font>
    <font>
      <sz val="11"/>
      <color rgb="FF000000"/>
      <name val="Calibri"/>
      <charset val="1"/>
    </font>
    <font>
      <i/>
      <sz val="9"/>
      <color rgb="FF595959"/>
      <name val="Calibri"/>
      <charset val="1"/>
    </font>
    <font>
      <i/>
      <sz val="9"/>
      <color rgb="FF333333"/>
      <name val="Calibri"/>
      <charset val="1"/>
    </font>
    <font>
      <sz val="10"/>
      <name val="Arial"/>
      <family val="2"/>
    </font>
    <font>
      <b/>
      <sz val="16"/>
      <color rgb="FF00204F"/>
      <name val="Calibri"/>
      <charset val="1"/>
    </font>
    <font>
      <b/>
      <sz val="12"/>
      <color rgb="FF74C947"/>
      <name val="Calibri"/>
      <charset val="1"/>
    </font>
    <font>
      <b/>
      <sz val="10"/>
      <color rgb="FF1B365D"/>
      <name val="Calibri"/>
      <charset val="1"/>
    </font>
    <font>
      <b/>
      <sz val="11"/>
      <color rgb="FFFFFFFF"/>
      <name val="Calibri"/>
      <charset val="1"/>
    </font>
    <font>
      <b/>
      <sz val="11"/>
      <color rgb="FF262626"/>
      <name val="Calibri"/>
      <charset val="1"/>
    </font>
    <font>
      <i/>
      <sz val="9"/>
      <color rgb="FFC00000"/>
      <name val="Calibri"/>
      <charset val="1"/>
    </font>
    <font>
      <b/>
      <sz val="10"/>
      <name val="Calibri"/>
      <charset val="1"/>
    </font>
    <font>
      <sz val="10"/>
      <color rgb="FF000000"/>
      <name val="Calibri"/>
      <charset val="1"/>
    </font>
    <font>
      <sz val="10"/>
      <color rgb="FF262626"/>
      <name val="Calibri"/>
      <charset val="1"/>
    </font>
    <font>
      <i/>
      <sz val="9"/>
      <name val="Calibri"/>
      <charset val="1"/>
    </font>
    <font>
      <i/>
      <sz val="8"/>
      <name val="Calibri"/>
      <charset val="1"/>
    </font>
    <font>
      <b/>
      <sz val="11"/>
      <name val="Calibri"/>
      <charset val="1"/>
    </font>
    <font>
      <b/>
      <sz val="12"/>
      <name val="Calibri"/>
      <charset val="1"/>
    </font>
  </fonts>
  <fills count="10">
    <fill>
      <patternFill patternType="none"/>
    </fill>
    <fill>
      <patternFill patternType="gray125"/>
    </fill>
    <fill>
      <patternFill patternType="solid">
        <fgColor rgb="FFD0EEC0"/>
        <bgColor rgb="FFE2EFDA"/>
      </patternFill>
    </fill>
    <fill>
      <patternFill patternType="solid">
        <fgColor rgb="FFF2F4F8"/>
        <bgColor rgb="FFFFFFFF"/>
      </patternFill>
    </fill>
    <fill>
      <patternFill patternType="solid">
        <fgColor rgb="FFD9E1F2"/>
        <bgColor rgb="FFE2E8F0"/>
      </patternFill>
    </fill>
    <fill>
      <patternFill patternType="solid">
        <fgColor rgb="FF1B365D"/>
        <bgColor rgb="FF333333"/>
      </patternFill>
    </fill>
    <fill>
      <patternFill patternType="solid">
        <fgColor rgb="FFE2EFDA"/>
        <bgColor rgb="FFE2E8F0"/>
      </patternFill>
    </fill>
    <fill>
      <patternFill patternType="solid">
        <fgColor rgb="FFFFF2CC"/>
        <bgColor rgb="FFFCE4D6"/>
      </patternFill>
    </fill>
    <fill>
      <patternFill patternType="solid">
        <fgColor rgb="FFFCE4D6"/>
        <bgColor rgb="FFFFF2CC"/>
      </patternFill>
    </fill>
    <fill>
      <patternFill patternType="solid">
        <fgColor rgb="FFDDEBF7"/>
        <bgColor rgb="FFE2E8F0"/>
      </patternFill>
    </fill>
  </fills>
  <borders count="11">
    <border>
      <left/>
      <right/>
      <top/>
      <bottom/>
      <diagonal/>
    </border>
    <border>
      <left/>
      <right/>
      <top/>
      <bottom style="thin">
        <color rgb="FFE2E8F0"/>
      </bottom>
      <diagonal/>
    </border>
    <border>
      <left/>
      <right/>
      <top style="thin">
        <color rgb="FF1B365D"/>
      </top>
      <bottom style="medium">
        <color rgb="FF1B365D"/>
      </bottom>
      <diagonal/>
    </border>
    <border>
      <left/>
      <right/>
      <top style="thin">
        <color rgb="FF1B365D"/>
      </top>
      <bottom style="double">
        <color rgb="FF1B365D"/>
      </bottom>
      <diagonal/>
    </border>
    <border>
      <left/>
      <right style="thin">
        <color rgb="FFD9D9D9"/>
      </right>
      <top/>
      <bottom style="thin">
        <color rgb="FFE2E8F0"/>
      </bottom>
      <diagonal/>
    </border>
    <border>
      <left/>
      <right/>
      <top style="medium">
        <color rgb="FF1B365D"/>
      </top>
      <bottom style="medium">
        <color rgb="FF1B365D"/>
      </bottom>
      <diagonal/>
    </border>
    <border>
      <left style="thin">
        <color rgb="FFD9D9D9"/>
      </left>
      <right/>
      <top/>
      <bottom/>
      <diagonal/>
    </border>
    <border>
      <left/>
      <right style="thin">
        <color rgb="FFD9D9D9"/>
      </right>
      <top/>
      <bottom/>
      <diagonal/>
    </border>
    <border>
      <left style="thin">
        <color rgb="FFD9D9D9"/>
      </left>
      <right/>
      <top/>
      <bottom style="thin">
        <color rgb="FFD9D9D9"/>
      </bottom>
      <diagonal/>
    </border>
    <border>
      <left/>
      <right/>
      <top/>
      <bottom style="thin">
        <color rgb="FFD9D9D9"/>
      </bottom>
      <diagonal/>
    </border>
    <border>
      <left/>
      <right style="thin">
        <color rgb="FFD9D9D9"/>
      </right>
      <top/>
      <bottom style="thin">
        <color rgb="FFD9D9D9"/>
      </bottom>
      <diagonal/>
    </border>
  </borders>
  <cellStyleXfs count="1">
    <xf numFmtId="0" fontId="0" fillId="0" borderId="0"/>
  </cellStyleXfs>
  <cellXfs count="147">
    <xf numFmtId="0" fontId="0" fillId="0" borderId="0" xfId="0"/>
    <xf numFmtId="0" fontId="14" fillId="0" borderId="1" xfId="0" applyFont="1" applyBorder="1" applyAlignment="1">
      <alignment horizontal="left" vertical="center" wrapText="1"/>
    </xf>
    <xf numFmtId="170" fontId="0" fillId="0" borderId="1" xfId="0" applyNumberFormat="1" applyBorder="1" applyAlignment="1">
      <alignment horizontal="center" vertical="center"/>
    </xf>
    <xf numFmtId="0" fontId="0" fillId="0" borderId="1" xfId="0" applyBorder="1" applyAlignment="1">
      <alignment horizontal="left" vertical="center" wrapText="1"/>
    </xf>
    <xf numFmtId="0" fontId="0" fillId="5" borderId="5" xfId="0" applyFill="1" applyBorder="1" applyAlignment="1">
      <alignment horizontal="left" vertical="center" wrapText="1"/>
    </xf>
    <xf numFmtId="0" fontId="7" fillId="2" borderId="2" xfId="0" applyFont="1" applyFill="1" applyBorder="1" applyAlignment="1">
      <alignment horizontal="right" vertical="center"/>
    </xf>
    <xf numFmtId="0" fontId="21" fillId="0" borderId="1" xfId="0" applyFont="1" applyBorder="1" applyAlignment="1">
      <alignment horizontal="left" vertical="center" wrapText="1"/>
    </xf>
    <xf numFmtId="0" fontId="20" fillId="0" borderId="1" xfId="0" applyFont="1" applyBorder="1" applyAlignment="1">
      <alignment horizontal="left" vertical="center" wrapText="1"/>
    </xf>
    <xf numFmtId="0" fontId="7" fillId="2" borderId="1" xfId="0" applyFont="1" applyFill="1" applyBorder="1" applyAlignment="1">
      <alignment horizontal="left" vertical="center" wrapText="1"/>
    </xf>
    <xf numFmtId="0" fontId="5" fillId="4" borderId="1" xfId="0" applyFont="1" applyFill="1" applyBorder="1" applyAlignment="1">
      <alignment horizontal="left" vertical="center" wrapText="1"/>
    </xf>
    <xf numFmtId="0" fontId="16" fillId="5" borderId="5" xfId="0" applyFont="1" applyFill="1" applyBorder="1" applyAlignment="1">
      <alignment horizontal="left" vertical="center" wrapText="1"/>
    </xf>
    <xf numFmtId="0" fontId="5" fillId="0" borderId="1" xfId="0" applyFont="1" applyBorder="1" applyAlignment="1">
      <alignment horizontal="left" vertical="center" wrapText="1"/>
    </xf>
    <xf numFmtId="0" fontId="0" fillId="0" borderId="0" xfId="0"/>
    <xf numFmtId="0" fontId="7" fillId="0" borderId="4" xfId="0" applyFont="1" applyBorder="1" applyAlignment="1">
      <alignment horizontal="left" vertical="center" wrapText="1"/>
    </xf>
    <xf numFmtId="0" fontId="11" fillId="4" borderId="4" xfId="0" applyFont="1" applyFill="1" applyBorder="1" applyAlignment="1">
      <alignment horizontal="left" vertical="center" wrapText="1"/>
    </xf>
    <xf numFmtId="0" fontId="0" fillId="0" borderId="0" xfId="0" applyAlignment="1">
      <alignment horizontal="center"/>
    </xf>
    <xf numFmtId="0" fontId="1" fillId="0" borderId="0" xfId="0" applyFont="1" applyAlignment="1">
      <alignment horizontal="left" vertical="center" wrapText="1"/>
    </xf>
    <xf numFmtId="0" fontId="2" fillId="0" borderId="0" xfId="0" applyFont="1" applyAlignment="1">
      <alignment horizontal="left" vertical="center" wrapText="1"/>
    </xf>
    <xf numFmtId="0" fontId="3" fillId="0" borderId="0" xfId="0" applyFont="1" applyAlignment="1">
      <alignment horizontal="left" vertical="center" wrapText="1"/>
    </xf>
    <xf numFmtId="0" fontId="4" fillId="0" borderId="1" xfId="0" applyFont="1" applyBorder="1" applyAlignment="1">
      <alignment horizontal="left" vertical="center" wrapText="1"/>
    </xf>
    <xf numFmtId="0" fontId="5" fillId="0" borderId="1" xfId="0" applyFont="1" applyBorder="1" applyAlignment="1">
      <alignment horizontal="left" vertical="center" wrapText="1"/>
    </xf>
    <xf numFmtId="0" fontId="6" fillId="2" borderId="2" xfId="0" applyFont="1" applyFill="1" applyBorder="1" applyAlignment="1">
      <alignment horizontal="left" vertical="center" wrapText="1"/>
    </xf>
    <xf numFmtId="0" fontId="6" fillId="2" borderId="2" xfId="0" applyFont="1" applyFill="1" applyBorder="1" applyAlignment="1">
      <alignment horizontal="right" vertical="center"/>
    </xf>
    <xf numFmtId="0" fontId="6" fillId="2" borderId="2" xfId="0" applyFont="1" applyFill="1" applyBorder="1" applyAlignment="1">
      <alignment horizontal="center" vertical="center"/>
    </xf>
    <xf numFmtId="0" fontId="7" fillId="0" borderId="1" xfId="0" applyFont="1" applyBorder="1" applyAlignment="1">
      <alignment horizontal="left" vertical="center" wrapText="1"/>
    </xf>
    <xf numFmtId="0" fontId="8" fillId="0" borderId="1" xfId="0" applyFont="1" applyBorder="1" applyAlignment="1">
      <alignment horizontal="left" vertical="center" wrapText="1"/>
    </xf>
    <xf numFmtId="0" fontId="9" fillId="0" borderId="1" xfId="0" applyFont="1" applyBorder="1" applyAlignment="1">
      <alignment horizontal="left" vertical="center" wrapText="1"/>
    </xf>
    <xf numFmtId="0" fontId="10" fillId="0" borderId="1" xfId="0" applyFont="1" applyBorder="1" applyAlignment="1">
      <alignment horizontal="left" vertical="center" wrapText="1"/>
    </xf>
    <xf numFmtId="0" fontId="9" fillId="0" borderId="1" xfId="0" applyFont="1" applyBorder="1" applyAlignment="1">
      <alignment horizontal="center" vertical="center"/>
    </xf>
    <xf numFmtId="0" fontId="7" fillId="3" borderId="3" xfId="0" applyFont="1" applyFill="1" applyBorder="1" applyAlignment="1">
      <alignment horizontal="left" vertical="center" wrapText="1"/>
    </xf>
    <xf numFmtId="0" fontId="8" fillId="3" borderId="3" xfId="0" applyFont="1" applyFill="1" applyBorder="1" applyAlignment="1">
      <alignment horizontal="left" vertical="center" wrapText="1"/>
    </xf>
    <xf numFmtId="0" fontId="9" fillId="3" borderId="3" xfId="0" applyFont="1" applyFill="1" applyBorder="1" applyAlignment="1">
      <alignment horizontal="left" vertical="center" wrapText="1"/>
    </xf>
    <xf numFmtId="0" fontId="10" fillId="3" borderId="3" xfId="0" applyFont="1" applyFill="1" applyBorder="1" applyAlignment="1">
      <alignment horizontal="left" vertical="center" wrapText="1"/>
    </xf>
    <xf numFmtId="0" fontId="6" fillId="2" borderId="1" xfId="0" applyFont="1" applyFill="1" applyBorder="1" applyAlignment="1">
      <alignment horizontal="left" vertical="center" wrapText="1"/>
    </xf>
    <xf numFmtId="164" fontId="5" fillId="0" borderId="1" xfId="0" applyNumberFormat="1" applyFont="1" applyBorder="1" applyAlignment="1">
      <alignment horizontal="right" vertical="center"/>
    </xf>
    <xf numFmtId="0" fontId="13" fillId="0" borderId="0" xfId="0" applyFont="1" applyAlignment="1">
      <alignment horizontal="left" vertical="center" wrapText="1"/>
    </xf>
    <xf numFmtId="0" fontId="14" fillId="0" borderId="1" xfId="0" applyFont="1" applyBorder="1" applyAlignment="1">
      <alignment horizontal="left" vertical="center" wrapText="1"/>
    </xf>
    <xf numFmtId="0" fontId="7" fillId="2" borderId="1" xfId="0" applyFont="1" applyFill="1" applyBorder="1" applyAlignment="1">
      <alignment horizontal="left" vertical="center" wrapText="1"/>
    </xf>
    <xf numFmtId="165" fontId="8" fillId="0" borderId="1" xfId="0" applyNumberFormat="1" applyFont="1" applyBorder="1" applyAlignment="1">
      <alignment horizontal="right" vertical="center"/>
    </xf>
    <xf numFmtId="165" fontId="7" fillId="3" borderId="3" xfId="0" applyNumberFormat="1" applyFont="1" applyFill="1" applyBorder="1" applyAlignment="1">
      <alignment horizontal="left" vertical="center" wrapText="1"/>
    </xf>
    <xf numFmtId="3" fontId="8" fillId="0" borderId="1" xfId="0" applyNumberFormat="1" applyFont="1" applyBorder="1" applyAlignment="1">
      <alignment horizontal="right" vertical="center"/>
    </xf>
    <xf numFmtId="166" fontId="9" fillId="0" borderId="1" xfId="0" applyNumberFormat="1" applyFont="1" applyBorder="1" applyAlignment="1">
      <alignment horizontal="left" vertical="center" wrapText="1"/>
    </xf>
    <xf numFmtId="3" fontId="7" fillId="3" borderId="3" xfId="0" applyNumberFormat="1" applyFont="1" applyFill="1" applyBorder="1" applyAlignment="1">
      <alignment horizontal="left" vertical="center" wrapText="1"/>
    </xf>
    <xf numFmtId="166" fontId="7" fillId="3" borderId="3" xfId="0" applyNumberFormat="1" applyFont="1" applyFill="1" applyBorder="1" applyAlignment="1">
      <alignment horizontal="left" vertical="center" wrapText="1"/>
    </xf>
    <xf numFmtId="167" fontId="8" fillId="0" borderId="1" xfId="0" applyNumberFormat="1" applyFont="1" applyBorder="1" applyAlignment="1">
      <alignment horizontal="right" vertical="center"/>
    </xf>
    <xf numFmtId="0" fontId="15" fillId="3" borderId="3" xfId="0" applyFont="1" applyFill="1" applyBorder="1" applyAlignment="1">
      <alignment horizontal="left" vertical="center" wrapText="1"/>
    </xf>
    <xf numFmtId="168" fontId="7" fillId="0" borderId="1" xfId="0" applyNumberFormat="1" applyFont="1" applyBorder="1" applyAlignment="1">
      <alignment horizontal="left" vertical="center" wrapText="1"/>
    </xf>
    <xf numFmtId="168" fontId="8" fillId="3" borderId="3" xfId="0" applyNumberFormat="1" applyFont="1" applyFill="1" applyBorder="1" applyAlignment="1">
      <alignment horizontal="right" vertical="center"/>
    </xf>
    <xf numFmtId="168" fontId="8" fillId="0" borderId="1" xfId="0" applyNumberFormat="1" applyFont="1" applyBorder="1" applyAlignment="1">
      <alignment horizontal="right" vertical="center"/>
    </xf>
    <xf numFmtId="169" fontId="8" fillId="0" borderId="1" xfId="0" applyNumberFormat="1" applyFont="1" applyBorder="1" applyAlignment="1">
      <alignment horizontal="right" vertical="center"/>
    </xf>
    <xf numFmtId="170" fontId="8" fillId="3" borderId="3" xfId="0" applyNumberFormat="1" applyFont="1" applyFill="1" applyBorder="1" applyAlignment="1">
      <alignment horizontal="right" vertical="center"/>
    </xf>
    <xf numFmtId="171" fontId="8" fillId="3" borderId="3" xfId="0" applyNumberFormat="1" applyFont="1" applyFill="1" applyBorder="1" applyAlignment="1">
      <alignment horizontal="right" vertical="center"/>
    </xf>
    <xf numFmtId="166" fontId="8" fillId="0" borderId="1" xfId="0" applyNumberFormat="1" applyFont="1" applyBorder="1" applyAlignment="1">
      <alignment horizontal="right" vertical="center"/>
    </xf>
    <xf numFmtId="167" fontId="8" fillId="3" borderId="3" xfId="0" applyNumberFormat="1" applyFont="1" applyFill="1" applyBorder="1" applyAlignment="1">
      <alignment horizontal="right" vertical="center"/>
    </xf>
    <xf numFmtId="172" fontId="8" fillId="0" borderId="1" xfId="0" applyNumberFormat="1" applyFont="1" applyBorder="1" applyAlignment="1">
      <alignment horizontal="right" vertical="center"/>
    </xf>
    <xf numFmtId="171" fontId="7" fillId="0" borderId="1" xfId="0" applyNumberFormat="1" applyFont="1" applyBorder="1" applyAlignment="1">
      <alignment horizontal="left" vertical="center" wrapText="1"/>
    </xf>
    <xf numFmtId="166" fontId="7" fillId="0" borderId="1" xfId="0" applyNumberFormat="1" applyFont="1" applyBorder="1" applyAlignment="1">
      <alignment horizontal="left" vertical="center" wrapText="1"/>
    </xf>
    <xf numFmtId="172" fontId="8" fillId="3" borderId="3" xfId="0" applyNumberFormat="1" applyFont="1" applyFill="1" applyBorder="1" applyAlignment="1">
      <alignment horizontal="right" vertical="center"/>
    </xf>
    <xf numFmtId="172" fontId="7" fillId="0" borderId="1" xfId="0" applyNumberFormat="1" applyFont="1" applyBorder="1" applyAlignment="1">
      <alignment horizontal="left" vertical="center" wrapText="1"/>
    </xf>
    <xf numFmtId="0" fontId="14" fillId="5" borderId="5" xfId="0" applyFont="1" applyFill="1" applyBorder="1" applyAlignment="1">
      <alignment horizontal="left" vertical="center" wrapText="1"/>
    </xf>
    <xf numFmtId="0" fontId="16" fillId="5" borderId="5" xfId="0" applyFont="1" applyFill="1" applyBorder="1" applyAlignment="1">
      <alignment horizontal="left" vertical="center" wrapText="1"/>
    </xf>
    <xf numFmtId="0" fontId="11" fillId="4" borderId="3" xfId="0" applyFont="1" applyFill="1" applyBorder="1" applyAlignment="1">
      <alignment horizontal="left" vertical="center" wrapText="1"/>
    </xf>
    <xf numFmtId="0" fontId="0" fillId="0" borderId="6" xfId="0" applyBorder="1"/>
    <xf numFmtId="0" fontId="0" fillId="0" borderId="7" xfId="0" applyBorder="1"/>
    <xf numFmtId="0" fontId="0" fillId="0" borderId="8" xfId="0" applyBorder="1"/>
    <xf numFmtId="0" fontId="0" fillId="0" borderId="9" xfId="0" applyBorder="1"/>
    <xf numFmtId="0" fontId="0" fillId="0" borderId="10" xfId="0" applyBorder="1"/>
    <xf numFmtId="0" fontId="17" fillId="4" borderId="1" xfId="0" applyFont="1" applyFill="1" applyBorder="1" applyAlignment="1">
      <alignment horizontal="left" vertical="center" wrapText="1"/>
    </xf>
    <xf numFmtId="0" fontId="9" fillId="4" borderId="1" xfId="0" applyFont="1" applyFill="1" applyBorder="1" applyAlignment="1">
      <alignment horizontal="left" vertical="center" wrapText="1"/>
    </xf>
    <xf numFmtId="171" fontId="17" fillId="4" borderId="1" xfId="0" applyNumberFormat="1" applyFont="1" applyFill="1" applyBorder="1" applyAlignment="1">
      <alignment horizontal="right" vertical="center"/>
    </xf>
    <xf numFmtId="166" fontId="17" fillId="4" borderId="1" xfId="0" applyNumberFormat="1" applyFont="1" applyFill="1" applyBorder="1" applyAlignment="1">
      <alignment horizontal="right" vertical="center"/>
    </xf>
    <xf numFmtId="173" fontId="17" fillId="4" borderId="1" xfId="0" applyNumberFormat="1" applyFont="1" applyFill="1" applyBorder="1" applyAlignment="1">
      <alignment horizontal="right" vertical="center"/>
    </xf>
    <xf numFmtId="0" fontId="10" fillId="4" borderId="1" xfId="0" applyFont="1" applyFill="1" applyBorder="1" applyAlignment="1">
      <alignment horizontal="left" vertical="center" wrapText="1"/>
    </xf>
    <xf numFmtId="0" fontId="9" fillId="4" borderId="1" xfId="0" applyFont="1" applyFill="1" applyBorder="1" applyAlignment="1">
      <alignment horizontal="center" vertical="center"/>
    </xf>
    <xf numFmtId="171" fontId="8" fillId="0" borderId="1" xfId="0" applyNumberFormat="1" applyFont="1" applyBorder="1" applyAlignment="1">
      <alignment horizontal="right" vertical="center"/>
    </xf>
    <xf numFmtId="173" fontId="8" fillId="0" borderId="1" xfId="0" applyNumberFormat="1" applyFont="1" applyBorder="1" applyAlignment="1">
      <alignment horizontal="right" vertical="center"/>
    </xf>
    <xf numFmtId="171" fontId="17" fillId="0" borderId="1" xfId="0" applyNumberFormat="1" applyFont="1" applyBorder="1" applyAlignment="1">
      <alignment horizontal="right" vertical="center"/>
    </xf>
    <xf numFmtId="166" fontId="17" fillId="0" borderId="1" xfId="0" applyNumberFormat="1" applyFont="1" applyBorder="1" applyAlignment="1">
      <alignment horizontal="right" vertical="center"/>
    </xf>
    <xf numFmtId="173" fontId="17" fillId="0" borderId="1" xfId="0" applyNumberFormat="1" applyFont="1" applyBorder="1" applyAlignment="1">
      <alignment horizontal="right" vertical="center"/>
    </xf>
    <xf numFmtId="0" fontId="7" fillId="2" borderId="2" xfId="0" applyFont="1" applyFill="1" applyBorder="1" applyAlignment="1">
      <alignment horizontal="left" vertical="center" wrapText="1"/>
    </xf>
    <xf numFmtId="0" fontId="7" fillId="2" borderId="2" xfId="0" applyFont="1" applyFill="1" applyBorder="1" applyAlignment="1">
      <alignment horizontal="right" vertical="center"/>
    </xf>
    <xf numFmtId="0" fontId="7" fillId="2" borderId="2" xfId="0" applyFont="1" applyFill="1" applyBorder="1" applyAlignment="1">
      <alignment horizontal="center" vertical="center"/>
    </xf>
    <xf numFmtId="165" fontId="7" fillId="0" borderId="1" xfId="0" applyNumberFormat="1" applyFont="1" applyBorder="1" applyAlignment="1">
      <alignment horizontal="left" vertical="center" wrapText="1"/>
    </xf>
    <xf numFmtId="0" fontId="8" fillId="3" borderId="3" xfId="0" applyFont="1" applyFill="1" applyBorder="1" applyAlignment="1">
      <alignment horizontal="right" vertical="center"/>
    </xf>
    <xf numFmtId="164" fontId="8" fillId="0" borderId="1" xfId="0" applyNumberFormat="1" applyFont="1" applyBorder="1" applyAlignment="1">
      <alignment horizontal="right" vertical="center"/>
    </xf>
    <xf numFmtId="0" fontId="13" fillId="0" borderId="0" xfId="0" applyFont="1" applyAlignment="1">
      <alignment horizontal="left" vertical="center"/>
    </xf>
    <xf numFmtId="0" fontId="18" fillId="0" borderId="1" xfId="0" applyFont="1" applyBorder="1" applyAlignment="1">
      <alignment horizontal="left" vertical="center" wrapText="1"/>
    </xf>
    <xf numFmtId="0" fontId="19" fillId="4" borderId="5" xfId="0" applyFont="1" applyFill="1" applyBorder="1" applyAlignment="1">
      <alignment horizontal="left" vertical="center" wrapText="1"/>
    </xf>
    <xf numFmtId="0" fontId="15" fillId="4" borderId="2" xfId="0" applyFont="1" applyFill="1" applyBorder="1" applyAlignment="1">
      <alignment horizontal="left" vertical="center" wrapText="1"/>
    </xf>
    <xf numFmtId="0" fontId="15" fillId="4" borderId="2" xfId="0" applyFont="1" applyFill="1" applyBorder="1" applyAlignment="1">
      <alignment horizontal="center" vertical="center"/>
    </xf>
    <xf numFmtId="0" fontId="20" fillId="0" borderId="1" xfId="0" applyFont="1" applyBorder="1" applyAlignment="1">
      <alignment horizontal="left" vertical="center" wrapText="1"/>
    </xf>
    <xf numFmtId="0" fontId="21" fillId="0" borderId="1" xfId="0" applyFont="1" applyBorder="1" applyAlignment="1">
      <alignment horizontal="left" vertical="center" wrapText="1"/>
    </xf>
    <xf numFmtId="0" fontId="19" fillId="4" borderId="1" xfId="0" applyFont="1" applyFill="1" applyBorder="1" applyAlignment="1">
      <alignment horizontal="left" vertical="center" wrapText="1"/>
    </xf>
    <xf numFmtId="0" fontId="5" fillId="4" borderId="1" xfId="0" applyFont="1" applyFill="1" applyBorder="1" applyAlignment="1">
      <alignment horizontal="left" vertical="center" wrapText="1"/>
    </xf>
    <xf numFmtId="0" fontId="19" fillId="4" borderId="2" xfId="0" applyFont="1" applyFill="1" applyBorder="1" applyAlignment="1">
      <alignment horizontal="left" vertical="center" wrapText="1"/>
    </xf>
    <xf numFmtId="164" fontId="21" fillId="0" borderId="1" xfId="0" applyNumberFormat="1" applyFont="1" applyBorder="1" applyAlignment="1">
      <alignment horizontal="right" vertical="center"/>
    </xf>
    <xf numFmtId="0" fontId="22" fillId="0" borderId="1" xfId="0" applyFont="1" applyBorder="1" applyAlignment="1">
      <alignment horizontal="left" vertical="center" wrapText="1"/>
    </xf>
    <xf numFmtId="0" fontId="0" fillId="0" borderId="0" xfId="0" applyAlignment="1">
      <alignment horizontal="left" vertical="center" wrapText="1"/>
    </xf>
    <xf numFmtId="0" fontId="0" fillId="0" borderId="1" xfId="0" applyBorder="1" applyAlignment="1">
      <alignment horizontal="left" vertical="center" wrapText="1"/>
    </xf>
    <xf numFmtId="170" fontId="0" fillId="0" borderId="1" xfId="0" applyNumberFormat="1" applyBorder="1" applyAlignment="1">
      <alignment horizontal="left" vertical="center" wrapText="1"/>
    </xf>
    <xf numFmtId="0" fontId="0" fillId="6" borderId="1" xfId="0" applyFill="1" applyBorder="1" applyAlignment="1">
      <alignment horizontal="left" vertical="center" wrapText="1"/>
    </xf>
    <xf numFmtId="171" fontId="0" fillId="0" borderId="1" xfId="0" applyNumberFormat="1" applyBorder="1" applyAlignment="1">
      <alignment horizontal="left" vertical="center" wrapText="1"/>
    </xf>
    <xf numFmtId="172" fontId="0" fillId="0" borderId="1" xfId="0" applyNumberFormat="1" applyBorder="1" applyAlignment="1">
      <alignment horizontal="left" vertical="center" wrapText="1"/>
    </xf>
    <xf numFmtId="0" fontId="0" fillId="3" borderId="3" xfId="0" applyFill="1" applyBorder="1" applyAlignment="1">
      <alignment horizontal="left" vertical="center" wrapText="1"/>
    </xf>
    <xf numFmtId="0" fontId="0" fillId="6" borderId="3" xfId="0" applyFill="1" applyBorder="1" applyAlignment="1">
      <alignment horizontal="left" vertical="center" wrapText="1"/>
    </xf>
    <xf numFmtId="0" fontId="0" fillId="0" borderId="1" xfId="0" applyBorder="1" applyAlignment="1">
      <alignment horizontal="center" vertical="center"/>
    </xf>
    <xf numFmtId="170" fontId="0" fillId="0" borderId="1" xfId="0" applyNumberFormat="1" applyBorder="1" applyAlignment="1">
      <alignment horizontal="right" vertical="center"/>
    </xf>
    <xf numFmtId="173" fontId="0" fillId="0" borderId="1" xfId="0" applyNumberFormat="1" applyBorder="1" applyAlignment="1">
      <alignment horizontal="left" vertical="center" wrapText="1"/>
    </xf>
    <xf numFmtId="170" fontId="0" fillId="0" borderId="1" xfId="0" applyNumberFormat="1" applyBorder="1" applyAlignment="1">
      <alignment horizontal="center" vertical="center"/>
    </xf>
    <xf numFmtId="173" fontId="0" fillId="7" borderId="1" xfId="0" applyNumberFormat="1" applyFill="1" applyBorder="1" applyAlignment="1">
      <alignment horizontal="right" vertical="center"/>
    </xf>
    <xf numFmtId="164" fontId="0" fillId="7" borderId="1" xfId="0" applyNumberFormat="1" applyFill="1" applyBorder="1" applyAlignment="1">
      <alignment horizontal="right" vertical="center"/>
    </xf>
    <xf numFmtId="164" fontId="0" fillId="6" borderId="1" xfId="0" applyNumberFormat="1" applyFill="1" applyBorder="1" applyAlignment="1">
      <alignment horizontal="right" vertical="center"/>
    </xf>
    <xf numFmtId="0" fontId="23" fillId="0" borderId="1" xfId="0" applyFont="1" applyBorder="1" applyAlignment="1">
      <alignment horizontal="left" vertical="center" wrapText="1"/>
    </xf>
    <xf numFmtId="167" fontId="0" fillId="0" borderId="1" xfId="0" applyNumberFormat="1" applyBorder="1" applyAlignment="1">
      <alignment horizontal="left" vertical="center" wrapText="1"/>
    </xf>
    <xf numFmtId="167" fontId="0" fillId="7" borderId="1" xfId="0" applyNumberFormat="1" applyFill="1" applyBorder="1" applyAlignment="1">
      <alignment horizontal="left" vertical="center" wrapText="1"/>
    </xf>
    <xf numFmtId="0" fontId="24" fillId="0" borderId="1" xfId="0" applyFont="1" applyBorder="1" applyAlignment="1">
      <alignment horizontal="left" vertical="center" wrapText="1"/>
    </xf>
    <xf numFmtId="3" fontId="0" fillId="0" borderId="1" xfId="0" applyNumberFormat="1" applyBorder="1" applyAlignment="1">
      <alignment horizontal="left" vertical="center" wrapText="1"/>
    </xf>
    <xf numFmtId="3" fontId="0" fillId="7" borderId="1" xfId="0" applyNumberFormat="1" applyFill="1" applyBorder="1" applyAlignment="1">
      <alignment horizontal="left" vertical="center" wrapText="1"/>
    </xf>
    <xf numFmtId="3" fontId="0" fillId="7" borderId="1" xfId="0" applyNumberFormat="1" applyFill="1" applyBorder="1" applyAlignment="1">
      <alignment horizontal="right" vertical="center"/>
    </xf>
    <xf numFmtId="3" fontId="0" fillId="8" borderId="1" xfId="0" applyNumberFormat="1" applyFill="1" applyBorder="1" applyAlignment="1">
      <alignment horizontal="left" vertical="center" wrapText="1"/>
    </xf>
    <xf numFmtId="0" fontId="14" fillId="3" borderId="3" xfId="0" applyFont="1" applyFill="1" applyBorder="1" applyAlignment="1">
      <alignment horizontal="left" vertical="center" wrapText="1"/>
    </xf>
    <xf numFmtId="0" fontId="5" fillId="9" borderId="1" xfId="0" applyFont="1" applyFill="1" applyBorder="1" applyAlignment="1">
      <alignment horizontal="left" vertical="center" wrapText="1"/>
    </xf>
    <xf numFmtId="0" fontId="0" fillId="7" borderId="1" xfId="0" applyFill="1" applyBorder="1" applyAlignment="1">
      <alignment horizontal="left" vertical="center" wrapText="1"/>
    </xf>
    <xf numFmtId="167" fontId="25" fillId="8" borderId="1" xfId="0" applyNumberFormat="1" applyFont="1" applyFill="1" applyBorder="1" applyAlignment="1">
      <alignment horizontal="left" vertical="center" wrapText="1"/>
    </xf>
    <xf numFmtId="166" fontId="0" fillId="7" borderId="1" xfId="0" applyNumberFormat="1" applyFill="1" applyBorder="1" applyAlignment="1">
      <alignment horizontal="right" vertical="center"/>
    </xf>
    <xf numFmtId="166" fontId="0" fillId="8" borderId="1" xfId="0" applyNumberFormat="1" applyFill="1" applyBorder="1" applyAlignment="1">
      <alignment horizontal="left" vertical="center" wrapText="1"/>
    </xf>
    <xf numFmtId="164" fontId="0" fillId="0" borderId="1" xfId="0" applyNumberFormat="1" applyBorder="1" applyAlignment="1">
      <alignment horizontal="left" vertical="center" wrapText="1"/>
    </xf>
    <xf numFmtId="0" fontId="15" fillId="4" borderId="2" xfId="0" applyFont="1" applyFill="1" applyBorder="1" applyAlignment="1">
      <alignment horizontal="right" vertical="center"/>
    </xf>
    <xf numFmtId="170" fontId="0" fillId="8" borderId="1" xfId="0" applyNumberFormat="1" applyFill="1" applyBorder="1" applyAlignment="1">
      <alignment horizontal="left" vertical="center" wrapText="1"/>
    </xf>
    <xf numFmtId="174" fontId="5" fillId="0" borderId="1" xfId="0" applyNumberFormat="1" applyFont="1" applyBorder="1" applyAlignment="1">
      <alignment horizontal="left" vertical="center" wrapText="1"/>
    </xf>
    <xf numFmtId="167" fontId="5" fillId="0" borderId="1" xfId="0" applyNumberFormat="1" applyFont="1" applyBorder="1" applyAlignment="1">
      <alignment horizontal="right" vertical="center"/>
    </xf>
    <xf numFmtId="0" fontId="5" fillId="6" borderId="1" xfId="0" applyFont="1" applyFill="1" applyBorder="1" applyAlignment="1">
      <alignment horizontal="left" vertical="center" wrapText="1"/>
    </xf>
    <xf numFmtId="0" fontId="5" fillId="7" borderId="1" xfId="0" applyFont="1" applyFill="1" applyBorder="1" applyAlignment="1">
      <alignment horizontal="left" vertical="center" wrapText="1"/>
    </xf>
    <xf numFmtId="174" fontId="0" fillId="6" borderId="1" xfId="0" applyNumberFormat="1" applyFill="1" applyBorder="1" applyAlignment="1">
      <alignment horizontal="left" vertical="center" wrapText="1"/>
    </xf>
    <xf numFmtId="167" fontId="0" fillId="6" borderId="1" xfId="0" applyNumberFormat="1" applyFill="1" applyBorder="1" applyAlignment="1">
      <alignment horizontal="right" vertical="center"/>
    </xf>
    <xf numFmtId="167" fontId="0" fillId="8" borderId="1" xfId="0" applyNumberFormat="1" applyFill="1" applyBorder="1" applyAlignment="1">
      <alignment horizontal="left" vertical="center" wrapText="1"/>
    </xf>
    <xf numFmtId="167" fontId="5" fillId="0" borderId="1" xfId="0" applyNumberFormat="1" applyFont="1" applyBorder="1" applyAlignment="1">
      <alignment horizontal="left" vertical="center" wrapText="1"/>
    </xf>
    <xf numFmtId="2" fontId="5" fillId="0" borderId="1" xfId="0" applyNumberFormat="1" applyFont="1" applyBorder="1" applyAlignment="1">
      <alignment horizontal="left" vertical="center" wrapText="1"/>
    </xf>
    <xf numFmtId="167" fontId="5" fillId="8" borderId="1" xfId="0" applyNumberFormat="1" applyFont="1" applyFill="1" applyBorder="1" applyAlignment="1">
      <alignment horizontal="left" vertical="center" wrapText="1"/>
    </xf>
    <xf numFmtId="0" fontId="23" fillId="0" borderId="1" xfId="0" applyFont="1" applyBorder="1" applyAlignment="1">
      <alignment horizontal="left" vertical="center" wrapText="1"/>
    </xf>
    <xf numFmtId="0" fontId="24" fillId="0" borderId="1" xfId="0" applyFont="1" applyBorder="1" applyAlignment="1">
      <alignment horizontal="left" vertical="center" wrapText="1"/>
    </xf>
    <xf numFmtId="167" fontId="25" fillId="8" borderId="3" xfId="0" applyNumberFormat="1" applyFont="1" applyFill="1" applyBorder="1" applyAlignment="1">
      <alignment horizontal="left" vertical="center" wrapText="1"/>
    </xf>
    <xf numFmtId="166" fontId="0" fillId="0" borderId="1" xfId="0" applyNumberFormat="1" applyBorder="1" applyAlignment="1">
      <alignment horizontal="left" vertical="center" wrapText="1"/>
    </xf>
    <xf numFmtId="174" fontId="5" fillId="0" borderId="1" xfId="0" applyNumberFormat="1" applyFont="1" applyBorder="1" applyAlignment="1">
      <alignment horizontal="left" vertical="center" wrapText="1"/>
    </xf>
    <xf numFmtId="0" fontId="5" fillId="6" borderId="1" xfId="0" applyFont="1" applyFill="1" applyBorder="1" applyAlignment="1">
      <alignment horizontal="left" vertical="center" wrapText="1"/>
    </xf>
    <xf numFmtId="2" fontId="5" fillId="0" borderId="1" xfId="0" applyNumberFormat="1" applyFont="1" applyBorder="1" applyAlignment="1">
      <alignment horizontal="left" vertical="center" wrapText="1"/>
    </xf>
    <xf numFmtId="167" fontId="5" fillId="7" borderId="1" xfId="0" applyNumberFormat="1"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colors>
    <indexedColors>
      <rgbColor rgb="FF000000"/>
      <rgbColor rgb="FFFFFFFF"/>
      <rgbColor rgb="FFC00000"/>
      <rgbColor rgb="FF00FF00"/>
      <rgbColor rgb="FF0000FF"/>
      <rgbColor rgb="FFFFFF00"/>
      <rgbColor rgb="FFFF00FF"/>
      <rgbColor rgb="FF00FFFF"/>
      <rgbColor rgb="FF800000"/>
      <rgbColor rgb="FF008000"/>
      <rgbColor rgb="FF00204F"/>
      <rgbColor rgb="FF808000"/>
      <rgbColor rgb="FF800080"/>
      <rgbColor rgb="FF008080"/>
      <rgbColor rgb="FFD9E1F2"/>
      <rgbColor rgb="FF808080"/>
      <rgbColor rgb="FF9999FF"/>
      <rgbColor rgb="FF993366"/>
      <rgbColor rgb="FFFFF2CC"/>
      <rgbColor rgb="FFDDEBF7"/>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E2EFDA"/>
      <rgbColor rgb="FFD0EEC0"/>
      <rgbColor rgb="FFF2F4F8"/>
      <rgbColor rgb="FFE2E8F0"/>
      <rgbColor rgb="FFFF99CC"/>
      <rgbColor rgb="FFCC99FF"/>
      <rgbColor rgb="FFFCE4D6"/>
      <rgbColor rgb="FF3366FF"/>
      <rgbColor rgb="FF33CCCC"/>
      <rgbColor rgb="FF74C947"/>
      <rgbColor rgb="FFFFCC00"/>
      <rgbColor rgb="FFFF9900"/>
      <rgbColor rgb="FFFF6600"/>
      <rgbColor rgb="FF595959"/>
      <rgbColor rgb="FF969696"/>
      <rgbColor rgb="FF1B365D"/>
      <rgbColor rgb="FF339966"/>
      <rgbColor rgb="FF003300"/>
      <rgbColor rgb="FF262626"/>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1285560</xdr:colOff>
      <xdr:row>4</xdr:row>
      <xdr:rowOff>104400</xdr:rowOff>
    </xdr:to>
    <xdr:pic>
      <xdr:nvPicPr>
        <xdr:cNvPr id="2" name="Image 1" descr="Picture">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tretch/>
      </xdr:blipFill>
      <xdr:spPr>
        <a:xfrm>
          <a:off x="0" y="0"/>
          <a:ext cx="1285560" cy="618840"/>
        </a:xfrm>
        <a:prstGeom prst="rect">
          <a:avLst/>
        </a:prstGeom>
        <a:ln w="0">
          <a:noFill/>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1285560</xdr:colOff>
      <xdr:row>1</xdr:row>
      <xdr:rowOff>418680</xdr:rowOff>
    </xdr:to>
    <xdr:pic>
      <xdr:nvPicPr>
        <xdr:cNvPr id="9" name="Image 1" descr="Picture">
          <a:extLst>
            <a:ext uri="{FF2B5EF4-FFF2-40B4-BE49-F238E27FC236}">
              <a16:creationId xmlns:a16="http://schemas.microsoft.com/office/drawing/2014/main" id="{00000000-0008-0000-0900-000009000000}"/>
            </a:ext>
          </a:extLst>
        </xdr:cNvPr>
        <xdr:cNvPicPr/>
      </xdr:nvPicPr>
      <xdr:blipFill>
        <a:blip xmlns:r="http://schemas.openxmlformats.org/officeDocument/2006/relationships" r:embed="rId1"/>
        <a:stretch/>
      </xdr:blipFill>
      <xdr:spPr>
        <a:xfrm>
          <a:off x="0" y="0"/>
          <a:ext cx="1285560" cy="618840"/>
        </a:xfrm>
        <a:prstGeom prst="rect">
          <a:avLst/>
        </a:prstGeom>
        <a:ln w="0">
          <a:noFill/>
        </a:ln>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1285560</xdr:colOff>
      <xdr:row>3</xdr:row>
      <xdr:rowOff>47160</xdr:rowOff>
    </xdr:to>
    <xdr:pic>
      <xdr:nvPicPr>
        <xdr:cNvPr id="10" name="Image 1" descr="Picture">
          <a:extLst>
            <a:ext uri="{FF2B5EF4-FFF2-40B4-BE49-F238E27FC236}">
              <a16:creationId xmlns:a16="http://schemas.microsoft.com/office/drawing/2014/main" id="{00000000-0008-0000-0A00-00000A000000}"/>
            </a:ext>
          </a:extLst>
        </xdr:cNvPr>
        <xdr:cNvPicPr/>
      </xdr:nvPicPr>
      <xdr:blipFill>
        <a:blip xmlns:r="http://schemas.openxmlformats.org/officeDocument/2006/relationships" r:embed="rId1"/>
        <a:stretch/>
      </xdr:blipFill>
      <xdr:spPr>
        <a:xfrm>
          <a:off x="0" y="0"/>
          <a:ext cx="1285560" cy="618840"/>
        </a:xfrm>
        <a:prstGeom prst="rect">
          <a:avLst/>
        </a:prstGeom>
        <a:ln w="0">
          <a:noFill/>
        </a:ln>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298800</xdr:colOff>
      <xdr:row>3</xdr:row>
      <xdr:rowOff>47160</xdr:rowOff>
    </xdr:to>
    <xdr:pic>
      <xdr:nvPicPr>
        <xdr:cNvPr id="11" name="Image 1" descr="Picture">
          <a:extLst>
            <a:ext uri="{FF2B5EF4-FFF2-40B4-BE49-F238E27FC236}">
              <a16:creationId xmlns:a16="http://schemas.microsoft.com/office/drawing/2014/main" id="{00000000-0008-0000-0B00-00000B000000}"/>
            </a:ext>
          </a:extLst>
        </xdr:cNvPr>
        <xdr:cNvPicPr/>
      </xdr:nvPicPr>
      <xdr:blipFill>
        <a:blip xmlns:r="http://schemas.openxmlformats.org/officeDocument/2006/relationships" r:embed="rId1"/>
        <a:stretch/>
      </xdr:blipFill>
      <xdr:spPr>
        <a:xfrm>
          <a:off x="0" y="0"/>
          <a:ext cx="1285560" cy="618840"/>
        </a:xfrm>
        <a:prstGeom prst="rect">
          <a:avLst/>
        </a:prstGeom>
        <a:ln w="0">
          <a:noFill/>
        </a:ln>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1285560</xdr:colOff>
      <xdr:row>1</xdr:row>
      <xdr:rowOff>418680</xdr:rowOff>
    </xdr:to>
    <xdr:pic>
      <xdr:nvPicPr>
        <xdr:cNvPr id="12" name="Image 1" descr="Picture">
          <a:extLst>
            <a:ext uri="{FF2B5EF4-FFF2-40B4-BE49-F238E27FC236}">
              <a16:creationId xmlns:a16="http://schemas.microsoft.com/office/drawing/2014/main" id="{00000000-0008-0000-0C00-00000C000000}"/>
            </a:ext>
          </a:extLst>
        </xdr:cNvPr>
        <xdr:cNvPicPr/>
      </xdr:nvPicPr>
      <xdr:blipFill>
        <a:blip xmlns:r="http://schemas.openxmlformats.org/officeDocument/2006/relationships" r:embed="rId1"/>
        <a:stretch/>
      </xdr:blipFill>
      <xdr:spPr>
        <a:xfrm>
          <a:off x="0" y="0"/>
          <a:ext cx="1285560" cy="618840"/>
        </a:xfrm>
        <a:prstGeom prst="rect">
          <a:avLst/>
        </a:prstGeom>
        <a:ln w="0">
          <a:noFill/>
        </a:ln>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1285560</xdr:colOff>
      <xdr:row>1</xdr:row>
      <xdr:rowOff>418680</xdr:rowOff>
    </xdr:to>
    <xdr:pic>
      <xdr:nvPicPr>
        <xdr:cNvPr id="13" name="Image 1" descr="Picture">
          <a:extLst>
            <a:ext uri="{FF2B5EF4-FFF2-40B4-BE49-F238E27FC236}">
              <a16:creationId xmlns:a16="http://schemas.microsoft.com/office/drawing/2014/main" id="{00000000-0008-0000-0D00-00000D000000}"/>
            </a:ext>
          </a:extLst>
        </xdr:cNvPr>
        <xdr:cNvPicPr/>
      </xdr:nvPicPr>
      <xdr:blipFill>
        <a:blip xmlns:r="http://schemas.openxmlformats.org/officeDocument/2006/relationships" r:embed="rId1"/>
        <a:stretch/>
      </xdr:blipFill>
      <xdr:spPr>
        <a:xfrm>
          <a:off x="0" y="0"/>
          <a:ext cx="1285560" cy="618840"/>
        </a:xfrm>
        <a:prstGeom prst="rect">
          <a:avLst/>
        </a:prstGeom>
        <a:ln w="0">
          <a:noFill/>
        </a:ln>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1285560</xdr:colOff>
      <xdr:row>3</xdr:row>
      <xdr:rowOff>47160</xdr:rowOff>
    </xdr:to>
    <xdr:pic>
      <xdr:nvPicPr>
        <xdr:cNvPr id="14" name="Image 1" descr="Picture">
          <a:extLst>
            <a:ext uri="{FF2B5EF4-FFF2-40B4-BE49-F238E27FC236}">
              <a16:creationId xmlns:a16="http://schemas.microsoft.com/office/drawing/2014/main" id="{00000000-0008-0000-0E00-00000E000000}"/>
            </a:ext>
          </a:extLst>
        </xdr:cNvPr>
        <xdr:cNvPicPr/>
      </xdr:nvPicPr>
      <xdr:blipFill>
        <a:blip xmlns:r="http://schemas.openxmlformats.org/officeDocument/2006/relationships" r:embed="rId1"/>
        <a:stretch/>
      </xdr:blipFill>
      <xdr:spPr>
        <a:xfrm>
          <a:off x="0" y="0"/>
          <a:ext cx="1285560" cy="618840"/>
        </a:xfrm>
        <a:prstGeom prst="rect">
          <a:avLst/>
        </a:prstGeom>
        <a:ln w="0">
          <a:noFill/>
        </a:ln>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1285560</xdr:colOff>
      <xdr:row>2</xdr:row>
      <xdr:rowOff>171000</xdr:rowOff>
    </xdr:to>
    <xdr:pic>
      <xdr:nvPicPr>
        <xdr:cNvPr id="15" name="Image 1" descr="Picture">
          <a:extLst>
            <a:ext uri="{FF2B5EF4-FFF2-40B4-BE49-F238E27FC236}">
              <a16:creationId xmlns:a16="http://schemas.microsoft.com/office/drawing/2014/main" id="{00000000-0008-0000-0F00-00000F000000}"/>
            </a:ext>
          </a:extLst>
        </xdr:cNvPr>
        <xdr:cNvPicPr/>
      </xdr:nvPicPr>
      <xdr:blipFill>
        <a:blip xmlns:r="http://schemas.openxmlformats.org/officeDocument/2006/relationships" r:embed="rId1"/>
        <a:stretch/>
      </xdr:blipFill>
      <xdr:spPr>
        <a:xfrm>
          <a:off x="0" y="0"/>
          <a:ext cx="1285560" cy="618840"/>
        </a:xfrm>
        <a:prstGeom prst="rect">
          <a:avLst/>
        </a:prstGeom>
        <a:ln w="0">
          <a:noFill/>
        </a:ln>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1285560</xdr:colOff>
      <xdr:row>1</xdr:row>
      <xdr:rowOff>418680</xdr:rowOff>
    </xdr:to>
    <xdr:pic>
      <xdr:nvPicPr>
        <xdr:cNvPr id="16" name="Image 1" descr="Picture">
          <a:extLst>
            <a:ext uri="{FF2B5EF4-FFF2-40B4-BE49-F238E27FC236}">
              <a16:creationId xmlns:a16="http://schemas.microsoft.com/office/drawing/2014/main" id="{00000000-0008-0000-1000-000010000000}"/>
            </a:ext>
          </a:extLst>
        </xdr:cNvPr>
        <xdr:cNvPicPr/>
      </xdr:nvPicPr>
      <xdr:blipFill>
        <a:blip xmlns:r="http://schemas.openxmlformats.org/officeDocument/2006/relationships" r:embed="rId1"/>
        <a:stretch/>
      </xdr:blipFill>
      <xdr:spPr>
        <a:xfrm>
          <a:off x="0" y="0"/>
          <a:ext cx="1285560" cy="618840"/>
        </a:xfrm>
        <a:prstGeom prst="rect">
          <a:avLst/>
        </a:prstGeom>
        <a:ln w="0">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1285560</xdr:colOff>
      <xdr:row>2</xdr:row>
      <xdr:rowOff>171000</xdr:rowOff>
    </xdr:to>
    <xdr:pic>
      <xdr:nvPicPr>
        <xdr:cNvPr id="2" name="Image 1" descr="Picture">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a:stretch/>
      </xdr:blipFill>
      <xdr:spPr>
        <a:xfrm>
          <a:off x="0" y="0"/>
          <a:ext cx="1285560" cy="618840"/>
        </a:xfrm>
        <a:prstGeom prst="rect">
          <a:avLst/>
        </a:prstGeom>
        <a:ln w="0">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1285560</xdr:colOff>
      <xdr:row>2</xdr:row>
      <xdr:rowOff>171000</xdr:rowOff>
    </xdr:to>
    <xdr:pic>
      <xdr:nvPicPr>
        <xdr:cNvPr id="2" name="Image 1" descr="Picture">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a:stretch/>
      </xdr:blipFill>
      <xdr:spPr>
        <a:xfrm>
          <a:off x="0" y="0"/>
          <a:ext cx="1285560" cy="618840"/>
        </a:xfrm>
        <a:prstGeom prst="rect">
          <a:avLst/>
        </a:prstGeom>
        <a:ln w="0">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1285560</xdr:colOff>
      <xdr:row>2</xdr:row>
      <xdr:rowOff>171000</xdr:rowOff>
    </xdr:to>
    <xdr:pic>
      <xdr:nvPicPr>
        <xdr:cNvPr id="3" name="Image 1" descr="Picture">
          <a:extLst>
            <a:ext uri="{FF2B5EF4-FFF2-40B4-BE49-F238E27FC236}">
              <a16:creationId xmlns:a16="http://schemas.microsoft.com/office/drawing/2014/main" id="{00000000-0008-0000-0300-000003000000}"/>
            </a:ext>
          </a:extLst>
        </xdr:cNvPr>
        <xdr:cNvPicPr/>
      </xdr:nvPicPr>
      <xdr:blipFill>
        <a:blip xmlns:r="http://schemas.openxmlformats.org/officeDocument/2006/relationships" r:embed="rId1"/>
        <a:stretch/>
      </xdr:blipFill>
      <xdr:spPr>
        <a:xfrm>
          <a:off x="0" y="0"/>
          <a:ext cx="1285560" cy="618840"/>
        </a:xfrm>
        <a:prstGeom prst="rect">
          <a:avLst/>
        </a:prstGeom>
        <a:ln w="0">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1285560</xdr:colOff>
      <xdr:row>2</xdr:row>
      <xdr:rowOff>171000</xdr:rowOff>
    </xdr:to>
    <xdr:pic>
      <xdr:nvPicPr>
        <xdr:cNvPr id="4" name="Image 1" descr="Picture">
          <a:extLst>
            <a:ext uri="{FF2B5EF4-FFF2-40B4-BE49-F238E27FC236}">
              <a16:creationId xmlns:a16="http://schemas.microsoft.com/office/drawing/2014/main" id="{00000000-0008-0000-0400-000004000000}"/>
            </a:ext>
          </a:extLst>
        </xdr:cNvPr>
        <xdr:cNvPicPr/>
      </xdr:nvPicPr>
      <xdr:blipFill>
        <a:blip xmlns:r="http://schemas.openxmlformats.org/officeDocument/2006/relationships" r:embed="rId1"/>
        <a:stretch/>
      </xdr:blipFill>
      <xdr:spPr>
        <a:xfrm>
          <a:off x="0" y="0"/>
          <a:ext cx="1285560" cy="618840"/>
        </a:xfrm>
        <a:prstGeom prst="rect">
          <a:avLst/>
        </a:prstGeom>
        <a:ln w="0">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1285560</xdr:colOff>
      <xdr:row>2</xdr:row>
      <xdr:rowOff>171000</xdr:rowOff>
    </xdr:to>
    <xdr:pic>
      <xdr:nvPicPr>
        <xdr:cNvPr id="5" name="Image 1" descr="Picture">
          <a:extLst>
            <a:ext uri="{FF2B5EF4-FFF2-40B4-BE49-F238E27FC236}">
              <a16:creationId xmlns:a16="http://schemas.microsoft.com/office/drawing/2014/main" id="{00000000-0008-0000-0500-000005000000}"/>
            </a:ext>
          </a:extLst>
        </xdr:cNvPr>
        <xdr:cNvPicPr/>
      </xdr:nvPicPr>
      <xdr:blipFill>
        <a:blip xmlns:r="http://schemas.openxmlformats.org/officeDocument/2006/relationships" r:embed="rId1"/>
        <a:stretch/>
      </xdr:blipFill>
      <xdr:spPr>
        <a:xfrm>
          <a:off x="0" y="0"/>
          <a:ext cx="1285560" cy="618840"/>
        </a:xfrm>
        <a:prstGeom prst="rect">
          <a:avLst/>
        </a:prstGeom>
        <a:ln w="0">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1285560</xdr:colOff>
      <xdr:row>2</xdr:row>
      <xdr:rowOff>171000</xdr:rowOff>
    </xdr:to>
    <xdr:pic>
      <xdr:nvPicPr>
        <xdr:cNvPr id="6" name="Image 1" descr="Picture">
          <a:extLst>
            <a:ext uri="{FF2B5EF4-FFF2-40B4-BE49-F238E27FC236}">
              <a16:creationId xmlns:a16="http://schemas.microsoft.com/office/drawing/2014/main" id="{00000000-0008-0000-0600-000006000000}"/>
            </a:ext>
          </a:extLst>
        </xdr:cNvPr>
        <xdr:cNvPicPr/>
      </xdr:nvPicPr>
      <xdr:blipFill>
        <a:blip xmlns:r="http://schemas.openxmlformats.org/officeDocument/2006/relationships" r:embed="rId1"/>
        <a:stretch/>
      </xdr:blipFill>
      <xdr:spPr>
        <a:xfrm>
          <a:off x="0" y="0"/>
          <a:ext cx="1285560" cy="618840"/>
        </a:xfrm>
        <a:prstGeom prst="rect">
          <a:avLst/>
        </a:prstGeom>
        <a:ln w="0">
          <a:noFill/>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1285560</xdr:colOff>
      <xdr:row>2</xdr:row>
      <xdr:rowOff>171000</xdr:rowOff>
    </xdr:to>
    <xdr:pic>
      <xdr:nvPicPr>
        <xdr:cNvPr id="7" name="Image 1" descr="Picture">
          <a:extLst>
            <a:ext uri="{FF2B5EF4-FFF2-40B4-BE49-F238E27FC236}">
              <a16:creationId xmlns:a16="http://schemas.microsoft.com/office/drawing/2014/main" id="{00000000-0008-0000-0700-000007000000}"/>
            </a:ext>
          </a:extLst>
        </xdr:cNvPr>
        <xdr:cNvPicPr/>
      </xdr:nvPicPr>
      <xdr:blipFill>
        <a:blip xmlns:r="http://schemas.openxmlformats.org/officeDocument/2006/relationships" r:embed="rId1"/>
        <a:stretch/>
      </xdr:blipFill>
      <xdr:spPr>
        <a:xfrm>
          <a:off x="0" y="0"/>
          <a:ext cx="1285560" cy="618840"/>
        </a:xfrm>
        <a:prstGeom prst="rect">
          <a:avLst/>
        </a:prstGeom>
        <a:ln w="0">
          <a:noFill/>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298800</xdr:colOff>
      <xdr:row>3</xdr:row>
      <xdr:rowOff>75960</xdr:rowOff>
    </xdr:to>
    <xdr:pic>
      <xdr:nvPicPr>
        <xdr:cNvPr id="8" name="Image 1" descr="Picture">
          <a:extLst>
            <a:ext uri="{FF2B5EF4-FFF2-40B4-BE49-F238E27FC236}">
              <a16:creationId xmlns:a16="http://schemas.microsoft.com/office/drawing/2014/main" id="{00000000-0008-0000-0800-000008000000}"/>
            </a:ext>
          </a:extLst>
        </xdr:cNvPr>
        <xdr:cNvPicPr/>
      </xdr:nvPicPr>
      <xdr:blipFill>
        <a:blip xmlns:r="http://schemas.openxmlformats.org/officeDocument/2006/relationships" r:embed="rId1"/>
        <a:stretch/>
      </xdr:blipFill>
      <xdr:spPr>
        <a:xfrm>
          <a:off x="0" y="0"/>
          <a:ext cx="1285560" cy="618840"/>
        </a:xfrm>
        <a:prstGeom prst="rect">
          <a:avLst/>
        </a:prstGeom>
        <a:ln w="0">
          <a:noFill/>
        </a:ln>
      </xdr:spPr>
    </xdr:pic>
    <xdr:clientData/>
  </xdr:twoCellAnchor>
</xdr:wsDr>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57"/>
  <sheetViews>
    <sheetView showGridLines="0" tabSelected="1" zoomScale="59" zoomScaleNormal="59" workbookViewId="0">
      <selection activeCell="A13" sqref="A13"/>
    </sheetView>
  </sheetViews>
  <sheetFormatPr defaultColWidth="8.6640625" defaultRowHeight="14.4" x14ac:dyDescent="0.3"/>
  <cols>
    <col min="1" max="1" width="53" customWidth="1"/>
    <col min="2" max="2" width="50" customWidth="1"/>
    <col min="3" max="3" width="41" customWidth="1"/>
    <col min="4" max="4" width="49" customWidth="1"/>
    <col min="5" max="5" width="15" customWidth="1"/>
  </cols>
  <sheetData>
    <row r="1" spans="1:5" ht="14.25" customHeight="1" x14ac:dyDescent="0.3">
      <c r="A1" s="15"/>
    </row>
    <row r="2" spans="1:5" ht="14.25" customHeight="1" x14ac:dyDescent="0.3"/>
    <row r="3" spans="1:5" ht="12" customHeight="1" x14ac:dyDescent="0.3"/>
    <row r="4" spans="1:5" ht="13.5" hidden="1" customHeight="1" x14ac:dyDescent="0.3"/>
    <row r="5" spans="1:5" ht="19.5" customHeight="1" x14ac:dyDescent="0.3">
      <c r="A5" s="16" t="s">
        <v>0</v>
      </c>
    </row>
    <row r="6" spans="1:5" ht="14.25" customHeight="1" x14ac:dyDescent="0.3"/>
    <row r="7" spans="1:5" ht="13.5" customHeight="1" x14ac:dyDescent="0.3"/>
    <row r="8" spans="1:5" ht="36" customHeight="1" x14ac:dyDescent="0.3">
      <c r="A8" s="17" t="s">
        <v>1</v>
      </c>
    </row>
    <row r="9" spans="1:5" ht="18" customHeight="1" x14ac:dyDescent="0.3">
      <c r="A9" s="18" t="s">
        <v>2</v>
      </c>
    </row>
    <row r="11" spans="1:5" ht="21.75" customHeight="1" x14ac:dyDescent="0.3">
      <c r="A11" s="19" t="s">
        <v>3</v>
      </c>
      <c r="B11" s="20"/>
      <c r="C11" s="20"/>
      <c r="D11" s="20"/>
      <c r="E11" s="20"/>
    </row>
    <row r="12" spans="1:5" ht="21.75" customHeight="1" x14ac:dyDescent="0.3">
      <c r="A12" s="21" t="s">
        <v>4</v>
      </c>
      <c r="B12" s="21" t="s">
        <v>5</v>
      </c>
      <c r="C12" s="22" t="s">
        <v>6</v>
      </c>
      <c r="D12" s="22" t="s">
        <v>7</v>
      </c>
      <c r="E12" s="23" t="s">
        <v>8</v>
      </c>
    </row>
    <row r="13" spans="1:5" ht="21.75" customHeight="1" x14ac:dyDescent="0.3">
      <c r="A13" s="24" t="s">
        <v>9</v>
      </c>
      <c r="B13" s="25" t="s">
        <v>10</v>
      </c>
      <c r="C13" s="26" t="s">
        <v>11</v>
      </c>
      <c r="D13" s="27" t="s">
        <v>12</v>
      </c>
      <c r="E13" s="28" t="s">
        <v>13</v>
      </c>
    </row>
    <row r="14" spans="1:5" ht="21.75" customHeight="1" x14ac:dyDescent="0.3">
      <c r="A14" s="24" t="s">
        <v>14</v>
      </c>
      <c r="B14" s="25" t="s">
        <v>15</v>
      </c>
      <c r="C14" s="26" t="s">
        <v>16</v>
      </c>
      <c r="D14" s="27" t="s">
        <v>17</v>
      </c>
      <c r="E14" s="28" t="s">
        <v>13</v>
      </c>
    </row>
    <row r="15" spans="1:5" ht="21.75" customHeight="1" x14ac:dyDescent="0.3">
      <c r="A15" s="24" t="s">
        <v>18</v>
      </c>
      <c r="B15" s="25" t="s">
        <v>19</v>
      </c>
      <c r="C15" s="26" t="s">
        <v>19</v>
      </c>
      <c r="D15" s="27" t="s">
        <v>20</v>
      </c>
      <c r="E15" s="28" t="s">
        <v>13</v>
      </c>
    </row>
    <row r="16" spans="1:5" ht="21.75" customHeight="1" x14ac:dyDescent="0.3">
      <c r="A16" s="24" t="s">
        <v>21</v>
      </c>
      <c r="B16" s="25" t="s">
        <v>22</v>
      </c>
      <c r="C16" s="26" t="s">
        <v>23</v>
      </c>
      <c r="D16" s="27" t="s">
        <v>24</v>
      </c>
      <c r="E16" s="28" t="s">
        <v>13</v>
      </c>
    </row>
    <row r="17" spans="1:5" ht="21.75" customHeight="1" x14ac:dyDescent="0.3">
      <c r="A17" s="24" t="s">
        <v>25</v>
      </c>
      <c r="B17" s="25" t="s">
        <v>26</v>
      </c>
      <c r="C17" s="26" t="s">
        <v>27</v>
      </c>
      <c r="D17" s="27" t="s">
        <v>28</v>
      </c>
      <c r="E17" s="28" t="s">
        <v>13</v>
      </c>
    </row>
    <row r="18" spans="1:5" ht="21.75" customHeight="1" x14ac:dyDescent="0.3">
      <c r="A18" s="24" t="s">
        <v>29</v>
      </c>
      <c r="B18" s="25" t="s">
        <v>30</v>
      </c>
      <c r="C18" s="26" t="s">
        <v>29</v>
      </c>
      <c r="D18" s="27" t="s">
        <v>28</v>
      </c>
      <c r="E18" s="28" t="s">
        <v>13</v>
      </c>
    </row>
    <row r="19" spans="1:5" ht="21.75" customHeight="1" x14ac:dyDescent="0.3">
      <c r="A19" s="24" t="s">
        <v>31</v>
      </c>
      <c r="B19" s="25" t="s">
        <v>32</v>
      </c>
      <c r="C19" s="26" t="s">
        <v>33</v>
      </c>
      <c r="D19" s="27" t="s">
        <v>34</v>
      </c>
      <c r="E19" s="28" t="s">
        <v>13</v>
      </c>
    </row>
    <row r="20" spans="1:5" ht="21.75" customHeight="1" x14ac:dyDescent="0.3">
      <c r="A20" s="24" t="s">
        <v>35</v>
      </c>
      <c r="B20" s="25" t="s">
        <v>36</v>
      </c>
      <c r="C20" s="26" t="s">
        <v>37</v>
      </c>
      <c r="D20" s="27" t="s">
        <v>38</v>
      </c>
      <c r="E20" s="28" t="s">
        <v>13</v>
      </c>
    </row>
    <row r="21" spans="1:5" ht="21.75" customHeight="1" x14ac:dyDescent="0.3">
      <c r="A21" s="24" t="s">
        <v>39</v>
      </c>
      <c r="B21" s="25" t="s">
        <v>40</v>
      </c>
      <c r="C21" s="26" t="s">
        <v>41</v>
      </c>
      <c r="D21" s="27" t="s">
        <v>42</v>
      </c>
      <c r="E21" s="28" t="s">
        <v>13</v>
      </c>
    </row>
    <row r="23" spans="1:5" ht="21.75" customHeight="1" x14ac:dyDescent="0.3">
      <c r="A23" s="19" t="s">
        <v>43</v>
      </c>
      <c r="B23" s="20"/>
      <c r="C23" s="20"/>
      <c r="D23" s="20"/>
      <c r="E23" s="20"/>
    </row>
    <row r="24" spans="1:5" ht="21.75" customHeight="1" x14ac:dyDescent="0.3">
      <c r="A24" s="21" t="s">
        <v>4</v>
      </c>
      <c r="B24" s="21" t="s">
        <v>5</v>
      </c>
      <c r="C24" s="22" t="s">
        <v>6</v>
      </c>
      <c r="D24" s="22" t="s">
        <v>7</v>
      </c>
      <c r="E24" s="23" t="s">
        <v>8</v>
      </c>
    </row>
    <row r="25" spans="1:5" ht="21.75" customHeight="1" x14ac:dyDescent="0.3">
      <c r="A25" s="29" t="s">
        <v>44</v>
      </c>
      <c r="B25" s="30" t="s">
        <v>45</v>
      </c>
      <c r="C25" s="31" t="s">
        <v>46</v>
      </c>
      <c r="D25" s="32" t="s">
        <v>47</v>
      </c>
      <c r="E25" s="31" t="s">
        <v>13</v>
      </c>
    </row>
    <row r="26" spans="1:5" ht="21.75" customHeight="1" x14ac:dyDescent="0.3">
      <c r="A26" s="24" t="s">
        <v>48</v>
      </c>
      <c r="B26" s="25" t="s">
        <v>49</v>
      </c>
      <c r="C26" s="26" t="s">
        <v>50</v>
      </c>
      <c r="D26" s="27" t="s">
        <v>51</v>
      </c>
      <c r="E26" s="28" t="s">
        <v>13</v>
      </c>
    </row>
    <row r="27" spans="1:5" ht="21.75" customHeight="1" x14ac:dyDescent="0.3">
      <c r="A27" s="24" t="s">
        <v>52</v>
      </c>
      <c r="B27" s="25" t="s">
        <v>53</v>
      </c>
      <c r="C27" s="26" t="s">
        <v>54</v>
      </c>
      <c r="D27" s="27" t="s">
        <v>55</v>
      </c>
      <c r="E27" s="28" t="s">
        <v>13</v>
      </c>
    </row>
    <row r="28" spans="1:5" ht="21.75" customHeight="1" x14ac:dyDescent="0.3">
      <c r="A28" s="24" t="s">
        <v>56</v>
      </c>
      <c r="B28" s="25" t="s">
        <v>57</v>
      </c>
      <c r="C28" s="26" t="s">
        <v>58</v>
      </c>
      <c r="D28" s="27" t="s">
        <v>59</v>
      </c>
      <c r="E28" s="28" t="s">
        <v>13</v>
      </c>
    </row>
    <row r="31" spans="1:5" ht="21.75" customHeight="1" x14ac:dyDescent="0.3">
      <c r="A31" s="19" t="s">
        <v>60</v>
      </c>
      <c r="B31" s="20"/>
      <c r="C31" s="20"/>
      <c r="D31" s="20"/>
      <c r="E31" s="20"/>
    </row>
    <row r="32" spans="1:5" ht="21.75" customHeight="1" x14ac:dyDescent="0.3">
      <c r="A32" s="21" t="s">
        <v>4</v>
      </c>
      <c r="B32" s="21" t="s">
        <v>5</v>
      </c>
      <c r="C32" s="22" t="s">
        <v>6</v>
      </c>
      <c r="D32" s="22" t="s">
        <v>7</v>
      </c>
      <c r="E32" s="23" t="s">
        <v>8</v>
      </c>
    </row>
    <row r="33" spans="1:5" ht="21.75" customHeight="1" x14ac:dyDescent="0.3">
      <c r="A33" s="24" t="s">
        <v>61</v>
      </c>
      <c r="B33" s="25" t="s">
        <v>62</v>
      </c>
      <c r="C33" s="26" t="s">
        <v>63</v>
      </c>
      <c r="D33" s="27" t="s">
        <v>64</v>
      </c>
      <c r="E33" s="28" t="s">
        <v>13</v>
      </c>
    </row>
    <row r="34" spans="1:5" ht="21.75" customHeight="1" x14ac:dyDescent="0.3">
      <c r="A34" s="24" t="s">
        <v>65</v>
      </c>
      <c r="B34" s="25" t="s">
        <v>66</v>
      </c>
      <c r="C34" s="26" t="s">
        <v>67</v>
      </c>
      <c r="D34" s="27" t="s">
        <v>68</v>
      </c>
      <c r="E34" s="28" t="s">
        <v>13</v>
      </c>
    </row>
    <row r="35" spans="1:5" ht="21.75" customHeight="1" x14ac:dyDescent="0.3">
      <c r="A35" s="24" t="s">
        <v>69</v>
      </c>
      <c r="B35" s="25" t="s">
        <v>70</v>
      </c>
      <c r="C35" s="26" t="s">
        <v>71</v>
      </c>
      <c r="D35" s="27" t="s">
        <v>72</v>
      </c>
      <c r="E35" s="28" t="s">
        <v>13</v>
      </c>
    </row>
    <row r="36" spans="1:5" ht="21.75" customHeight="1" x14ac:dyDescent="0.3">
      <c r="A36" s="24" t="s">
        <v>73</v>
      </c>
      <c r="B36" s="25" t="s">
        <v>74</v>
      </c>
      <c r="C36" s="26" t="s">
        <v>75</v>
      </c>
      <c r="D36" s="27" t="s">
        <v>76</v>
      </c>
      <c r="E36" s="28" t="s">
        <v>13</v>
      </c>
    </row>
    <row r="37" spans="1:5" ht="21.75" customHeight="1" x14ac:dyDescent="0.3">
      <c r="A37" s="24" t="s">
        <v>77</v>
      </c>
      <c r="B37" s="25" t="s">
        <v>70</v>
      </c>
      <c r="C37" s="26" t="s">
        <v>77</v>
      </c>
      <c r="D37" s="27" t="s">
        <v>78</v>
      </c>
      <c r="E37" s="28" t="s">
        <v>13</v>
      </c>
    </row>
    <row r="38" spans="1:5" ht="21.75" customHeight="1" x14ac:dyDescent="0.3">
      <c r="A38" s="24" t="s">
        <v>79</v>
      </c>
      <c r="B38" s="25" t="s">
        <v>80</v>
      </c>
      <c r="C38" s="26" t="s">
        <v>81</v>
      </c>
      <c r="D38" s="27" t="s">
        <v>82</v>
      </c>
      <c r="E38" s="28" t="s">
        <v>13</v>
      </c>
    </row>
    <row r="40" spans="1:5" ht="21.75" customHeight="1" x14ac:dyDescent="0.3">
      <c r="A40" s="19" t="s">
        <v>83</v>
      </c>
      <c r="B40" s="20"/>
      <c r="C40" s="20"/>
      <c r="D40" s="20"/>
      <c r="E40" s="20"/>
    </row>
    <row r="41" spans="1:5" ht="21.75" customHeight="1" x14ac:dyDescent="0.3">
      <c r="A41" s="14" t="s">
        <v>84</v>
      </c>
      <c r="B41" s="14"/>
      <c r="C41" s="14"/>
      <c r="D41" s="14"/>
      <c r="E41" s="14"/>
    </row>
    <row r="42" spans="1:5" ht="14.25" customHeight="1" x14ac:dyDescent="0.3">
      <c r="A42" s="14"/>
      <c r="B42" s="14"/>
      <c r="C42" s="14"/>
      <c r="D42" s="14"/>
      <c r="E42" s="14"/>
    </row>
    <row r="43" spans="1:5" ht="14.25" customHeight="1" x14ac:dyDescent="0.3">
      <c r="A43" s="14"/>
      <c r="B43" s="14"/>
      <c r="C43" s="14"/>
      <c r="D43" s="14"/>
      <c r="E43" s="14"/>
    </row>
    <row r="44" spans="1:5" ht="14.25" customHeight="1" x14ac:dyDescent="0.3">
      <c r="A44" s="14"/>
      <c r="B44" s="14"/>
      <c r="C44" s="14"/>
      <c r="D44" s="14"/>
      <c r="E44" s="14"/>
    </row>
    <row r="45" spans="1:5" ht="14.25" customHeight="1" x14ac:dyDescent="0.3">
      <c r="A45" s="14"/>
      <c r="B45" s="14"/>
      <c r="C45" s="14"/>
      <c r="D45" s="14"/>
      <c r="E45" s="14"/>
    </row>
    <row r="47" spans="1:5" ht="21.75" customHeight="1" x14ac:dyDescent="0.3">
      <c r="A47" s="19" t="s">
        <v>85</v>
      </c>
      <c r="B47" s="20"/>
      <c r="C47" s="20"/>
      <c r="D47" s="20"/>
      <c r="E47" s="20"/>
    </row>
    <row r="48" spans="1:5" ht="21.75" customHeight="1" x14ac:dyDescent="0.3">
      <c r="A48" s="33" t="s">
        <v>86</v>
      </c>
      <c r="B48" s="33" t="s">
        <v>87</v>
      </c>
      <c r="C48" s="33" t="s">
        <v>88</v>
      </c>
      <c r="D48" s="20"/>
      <c r="E48" s="20"/>
    </row>
    <row r="49" spans="1:5" ht="21.75" customHeight="1" x14ac:dyDescent="0.3">
      <c r="A49" s="34">
        <v>1</v>
      </c>
      <c r="B49" s="20" t="s">
        <v>89</v>
      </c>
      <c r="C49" s="20" t="s">
        <v>90</v>
      </c>
      <c r="D49" s="20"/>
      <c r="E49" s="20"/>
    </row>
    <row r="50" spans="1:5" ht="21.75" customHeight="1" x14ac:dyDescent="0.3">
      <c r="A50" s="34">
        <v>2</v>
      </c>
      <c r="B50" s="20" t="s">
        <v>91</v>
      </c>
      <c r="C50" s="20" t="s">
        <v>92</v>
      </c>
      <c r="D50" s="20"/>
      <c r="E50" s="20"/>
    </row>
    <row r="51" spans="1:5" ht="21.75" customHeight="1" x14ac:dyDescent="0.3">
      <c r="A51" s="34">
        <v>3</v>
      </c>
      <c r="B51" s="20" t="s">
        <v>93</v>
      </c>
      <c r="C51" s="20" t="s">
        <v>94</v>
      </c>
      <c r="D51" s="20"/>
      <c r="E51" s="20"/>
    </row>
    <row r="52" spans="1:5" ht="21.75" customHeight="1" x14ac:dyDescent="0.3">
      <c r="A52" s="34">
        <v>4</v>
      </c>
      <c r="B52" s="20" t="s">
        <v>95</v>
      </c>
      <c r="C52" s="20" t="s">
        <v>96</v>
      </c>
      <c r="D52" s="20"/>
      <c r="E52" s="20"/>
    </row>
    <row r="53" spans="1:5" ht="21.75" customHeight="1" x14ac:dyDescent="0.3">
      <c r="A53" s="34">
        <v>5</v>
      </c>
      <c r="B53" s="20" t="s">
        <v>97</v>
      </c>
      <c r="C53" s="20" t="s">
        <v>98</v>
      </c>
      <c r="D53" s="20"/>
      <c r="E53" s="20"/>
    </row>
    <row r="54" spans="1:5" ht="21.75" customHeight="1" x14ac:dyDescent="0.3">
      <c r="A54" s="34">
        <v>6</v>
      </c>
      <c r="B54" s="20" t="s">
        <v>99</v>
      </c>
      <c r="C54" s="20" t="s">
        <v>100</v>
      </c>
      <c r="D54" s="20"/>
      <c r="E54" s="20"/>
    </row>
    <row r="55" spans="1:5" ht="21.75" customHeight="1" x14ac:dyDescent="0.3">
      <c r="A55" s="34">
        <v>7</v>
      </c>
      <c r="B55" s="20" t="s">
        <v>101</v>
      </c>
      <c r="C55" s="20" t="s">
        <v>102</v>
      </c>
      <c r="D55" s="20"/>
      <c r="E55" s="20"/>
    </row>
    <row r="56" spans="1:5" ht="21.75" customHeight="1" x14ac:dyDescent="0.3">
      <c r="A56" s="34">
        <v>8</v>
      </c>
      <c r="B56" s="20" t="s">
        <v>103</v>
      </c>
      <c r="C56" s="20" t="s">
        <v>104</v>
      </c>
      <c r="D56" s="20"/>
      <c r="E56" s="20"/>
    </row>
    <row r="57" spans="1:5" ht="21.75" customHeight="1" x14ac:dyDescent="0.3">
      <c r="A57" s="34">
        <v>9</v>
      </c>
      <c r="B57" s="20" t="s">
        <v>105</v>
      </c>
      <c r="C57" s="20" t="s">
        <v>106</v>
      </c>
      <c r="D57" s="20"/>
      <c r="E57" s="20"/>
    </row>
  </sheetData>
  <mergeCells count="1">
    <mergeCell ref="A41:E45"/>
  </mergeCells>
  <pageMargins left="0.75" right="0.75" top="1" bottom="1" header="0.511811023622047" footer="0.511811023622047"/>
  <pageSetup paperSize="9" orientation="portrait" horizontalDpi="300" verticalDpi="300"/>
  <drawing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34"/>
  <sheetViews>
    <sheetView showGridLines="0" zoomScaleNormal="100" workbookViewId="0">
      <pane ySplit="4" topLeftCell="A5" activePane="bottomLeft" state="frozen"/>
      <selection pane="bottomLeft" sqref="A1:XFD4"/>
    </sheetView>
  </sheetViews>
  <sheetFormatPr defaultColWidth="8.6640625" defaultRowHeight="14.4" x14ac:dyDescent="0.3"/>
  <cols>
    <col min="1" max="1" width="52" customWidth="1"/>
    <col min="2" max="2" width="66" customWidth="1"/>
    <col min="3" max="3" width="70" customWidth="1"/>
    <col min="4" max="4" width="69" customWidth="1"/>
    <col min="5" max="5" width="55" customWidth="1"/>
    <col min="6" max="6" width="14" customWidth="1"/>
  </cols>
  <sheetData>
    <row r="1" spans="1:6" ht="15.75" customHeight="1" x14ac:dyDescent="0.3"/>
    <row r="2" spans="1:6" ht="39.75" customHeight="1" x14ac:dyDescent="0.3"/>
    <row r="4" spans="1:6" ht="15" customHeight="1" x14ac:dyDescent="0.3"/>
    <row r="5" spans="1:6" ht="19.5" customHeight="1" x14ac:dyDescent="0.3">
      <c r="A5" s="16" t="s">
        <v>0</v>
      </c>
    </row>
    <row r="6" spans="1:6" ht="54" customHeight="1" x14ac:dyDescent="0.3">
      <c r="A6" s="35" t="s">
        <v>596</v>
      </c>
    </row>
    <row r="7" spans="1:6" ht="18" customHeight="1" x14ac:dyDescent="0.3">
      <c r="A7" s="97" t="s">
        <v>597</v>
      </c>
    </row>
    <row r="8" spans="1:6" ht="15" customHeight="1" x14ac:dyDescent="0.3"/>
    <row r="9" spans="1:6" ht="21.75" customHeight="1" x14ac:dyDescent="0.3">
      <c r="A9" s="36" t="s">
        <v>598</v>
      </c>
      <c r="B9" s="20"/>
      <c r="C9" s="20"/>
      <c r="D9" s="20"/>
      <c r="E9" s="20"/>
      <c r="F9" s="20"/>
    </row>
    <row r="10" spans="1:6" ht="21.75" customHeight="1" x14ac:dyDescent="0.3">
      <c r="A10" s="79" t="s">
        <v>536</v>
      </c>
      <c r="B10" s="79" t="s">
        <v>599</v>
      </c>
      <c r="C10" s="80" t="s">
        <v>554</v>
      </c>
      <c r="D10" s="80" t="s">
        <v>555</v>
      </c>
      <c r="E10" s="81" t="s">
        <v>600</v>
      </c>
      <c r="F10" s="81" t="s">
        <v>601</v>
      </c>
    </row>
    <row r="11" spans="1:6" ht="21.75" customHeight="1" x14ac:dyDescent="0.3">
      <c r="A11" s="98" t="s">
        <v>602</v>
      </c>
      <c r="B11" s="99">
        <f>'Management Projections'!B11</f>
        <v>4.5999999999999996</v>
      </c>
      <c r="C11" s="99">
        <f>'Management Projections'!C11</f>
        <v>6.2</v>
      </c>
      <c r="D11" s="99">
        <f>'Management Projections'!D11</f>
        <v>8.1</v>
      </c>
      <c r="E11" s="98" t="s">
        <v>603</v>
      </c>
      <c r="F11" s="100" t="s">
        <v>604</v>
      </c>
    </row>
    <row r="12" spans="1:6" ht="21.75" customHeight="1" x14ac:dyDescent="0.3">
      <c r="A12" s="98" t="s">
        <v>605</v>
      </c>
      <c r="B12" s="101">
        <f>'Management Projections'!B12</f>
        <v>126</v>
      </c>
      <c r="C12" s="101">
        <f>'Management Projections'!C12</f>
        <v>207</v>
      </c>
      <c r="D12" s="101">
        <f>'Management Projections'!D12</f>
        <v>309</v>
      </c>
      <c r="E12" s="98" t="s">
        <v>603</v>
      </c>
      <c r="F12" s="100" t="s">
        <v>604</v>
      </c>
    </row>
    <row r="13" spans="1:6" ht="21.75" customHeight="1" x14ac:dyDescent="0.3">
      <c r="A13" s="4" t="s">
        <v>606</v>
      </c>
      <c r="B13" s="4"/>
      <c r="C13" s="4"/>
      <c r="D13" s="4"/>
      <c r="E13" s="4"/>
      <c r="F13" s="4"/>
    </row>
    <row r="14" spans="1:6" ht="21.75" customHeight="1" x14ac:dyDescent="0.3">
      <c r="A14" s="98" t="s">
        <v>607</v>
      </c>
      <c r="B14" s="102">
        <f>'Management Projections'!B22</f>
        <v>-68</v>
      </c>
      <c r="C14" s="102">
        <f>'Management Projections'!C22</f>
        <v>-71</v>
      </c>
      <c r="D14" s="102">
        <f>'Management Projections'!D22</f>
        <v>-31</v>
      </c>
      <c r="E14" s="98" t="s">
        <v>603</v>
      </c>
      <c r="F14" s="100" t="s">
        <v>604</v>
      </c>
    </row>
    <row r="15" spans="1:6" ht="21.75" customHeight="1" x14ac:dyDescent="0.3">
      <c r="A15" s="103" t="s">
        <v>608</v>
      </c>
      <c r="B15" s="103">
        <f>'Deal Structure'!B14/1000000</f>
        <v>1500</v>
      </c>
      <c r="C15" s="45"/>
      <c r="D15" s="45"/>
      <c r="E15" s="103" t="s">
        <v>609</v>
      </c>
      <c r="F15" s="104" t="s">
        <v>604</v>
      </c>
    </row>
    <row r="16" spans="1:6" ht="21.75" customHeight="1" x14ac:dyDescent="0.3">
      <c r="A16" s="98" t="s">
        <v>610</v>
      </c>
      <c r="B16" s="98">
        <f>'Cap Table &amp; Ownership'!B16/1000000</f>
        <v>213.388441</v>
      </c>
      <c r="C16" s="20"/>
      <c r="D16" s="20"/>
      <c r="E16" s="98" t="s">
        <v>611</v>
      </c>
      <c r="F16" s="100" t="s">
        <v>604</v>
      </c>
    </row>
    <row r="17" spans="1:6" ht="33.75" customHeight="1" x14ac:dyDescent="0.3"/>
    <row r="18" spans="1:6" ht="21.75" customHeight="1" x14ac:dyDescent="0.3">
      <c r="A18" s="36" t="s">
        <v>612</v>
      </c>
      <c r="B18" s="20"/>
      <c r="C18" s="20"/>
      <c r="D18" s="20"/>
      <c r="E18" s="20"/>
      <c r="F18" s="20"/>
    </row>
    <row r="19" spans="1:6" ht="21.75" customHeight="1" x14ac:dyDescent="0.3">
      <c r="A19" s="79" t="s">
        <v>536</v>
      </c>
      <c r="B19" s="79" t="s">
        <v>613</v>
      </c>
      <c r="C19" s="80" t="s">
        <v>557</v>
      </c>
      <c r="D19" s="80" t="s">
        <v>614</v>
      </c>
      <c r="E19" s="81" t="s">
        <v>564</v>
      </c>
      <c r="F19" s="81" t="s">
        <v>601</v>
      </c>
    </row>
    <row r="20" spans="1:6" ht="21.75" customHeight="1" x14ac:dyDescent="0.3">
      <c r="A20" s="98" t="s">
        <v>602</v>
      </c>
      <c r="B20" s="98" t="s">
        <v>615</v>
      </c>
      <c r="C20" s="98" t="s">
        <v>616</v>
      </c>
      <c r="D20" s="98" t="s">
        <v>617</v>
      </c>
      <c r="E20" s="98" t="s">
        <v>618</v>
      </c>
      <c r="F20" s="100" t="s">
        <v>604</v>
      </c>
    </row>
    <row r="21" spans="1:6" ht="21.75" customHeight="1" x14ac:dyDescent="0.3">
      <c r="A21" s="3" t="s">
        <v>619</v>
      </c>
      <c r="B21" s="3"/>
      <c r="C21" s="3"/>
      <c r="D21" s="3"/>
      <c r="E21" s="3"/>
      <c r="F21" s="3"/>
    </row>
    <row r="22" spans="1:6" ht="21.75" customHeight="1" x14ac:dyDescent="0.3">
      <c r="A22" s="98" t="s">
        <v>620</v>
      </c>
      <c r="B22" s="98" t="s">
        <v>621</v>
      </c>
      <c r="C22" s="98" t="s">
        <v>622</v>
      </c>
      <c r="D22" s="98" t="s">
        <v>623</v>
      </c>
      <c r="E22" s="98" t="s">
        <v>624</v>
      </c>
      <c r="F22" s="100" t="s">
        <v>604</v>
      </c>
    </row>
    <row r="23" spans="1:6" ht="21.75" customHeight="1" x14ac:dyDescent="0.3">
      <c r="A23" s="98" t="s">
        <v>625</v>
      </c>
      <c r="B23" s="98" t="s">
        <v>626</v>
      </c>
      <c r="C23" s="3" t="s">
        <v>627</v>
      </c>
      <c r="D23" s="3"/>
      <c r="E23" s="98" t="s">
        <v>628</v>
      </c>
      <c r="F23" s="100" t="s">
        <v>604</v>
      </c>
    </row>
    <row r="24" spans="1:6" ht="21.75" customHeight="1" x14ac:dyDescent="0.3">
      <c r="A24" s="98" t="s">
        <v>629</v>
      </c>
      <c r="B24" s="98" t="s">
        <v>630</v>
      </c>
      <c r="C24" s="3" t="s">
        <v>631</v>
      </c>
      <c r="D24" s="3"/>
      <c r="E24" s="98" t="s">
        <v>628</v>
      </c>
      <c r="F24" s="100" t="s">
        <v>604</v>
      </c>
    </row>
    <row r="25" spans="1:6" ht="39.75" customHeight="1" x14ac:dyDescent="0.3">
      <c r="C25" s="12"/>
      <c r="D25" s="12"/>
    </row>
    <row r="26" spans="1:6" ht="21.75" customHeight="1" x14ac:dyDescent="0.3">
      <c r="A26" s="36" t="s">
        <v>632</v>
      </c>
      <c r="B26" s="20"/>
      <c r="C26" s="11"/>
      <c r="D26" s="11"/>
      <c r="E26" s="20"/>
      <c r="F26" s="20"/>
    </row>
    <row r="27" spans="1:6" ht="21.75" customHeight="1" x14ac:dyDescent="0.3">
      <c r="A27" s="79" t="s">
        <v>633</v>
      </c>
      <c r="B27" s="79" t="s">
        <v>634</v>
      </c>
      <c r="C27" s="5" t="s">
        <v>587</v>
      </c>
      <c r="D27" s="5"/>
      <c r="E27" s="81" t="s">
        <v>600</v>
      </c>
      <c r="F27" s="81" t="s">
        <v>601</v>
      </c>
    </row>
    <row r="28" spans="1:6" ht="21.75" customHeight="1" x14ac:dyDescent="0.3">
      <c r="A28" s="98" t="s">
        <v>635</v>
      </c>
      <c r="B28" s="98" t="s">
        <v>546</v>
      </c>
      <c r="C28" s="3" t="s">
        <v>636</v>
      </c>
      <c r="D28" s="3"/>
      <c r="E28" s="98" t="s">
        <v>637</v>
      </c>
      <c r="F28" s="100" t="s">
        <v>604</v>
      </c>
    </row>
    <row r="29" spans="1:6" ht="21.75" customHeight="1" x14ac:dyDescent="0.3">
      <c r="A29" s="98" t="s">
        <v>638</v>
      </c>
      <c r="B29" s="98" t="s">
        <v>639</v>
      </c>
      <c r="C29" s="3" t="s">
        <v>640</v>
      </c>
      <c r="D29" s="3"/>
      <c r="E29" s="98" t="s">
        <v>637</v>
      </c>
      <c r="F29" s="100" t="s">
        <v>604</v>
      </c>
    </row>
    <row r="30" spans="1:6" ht="21.75" customHeight="1" x14ac:dyDescent="0.3">
      <c r="A30" s="98" t="s">
        <v>641</v>
      </c>
      <c r="B30" s="98" t="s">
        <v>642</v>
      </c>
      <c r="C30" s="98" t="s">
        <v>643</v>
      </c>
      <c r="D30" s="20"/>
      <c r="E30" s="98" t="s">
        <v>644</v>
      </c>
      <c r="F30" s="100" t="s">
        <v>604</v>
      </c>
    </row>
    <row r="31" spans="1:6" ht="21.75" customHeight="1" x14ac:dyDescent="0.3">
      <c r="A31" s="98" t="s">
        <v>645</v>
      </c>
      <c r="B31" s="98" t="s">
        <v>646</v>
      </c>
      <c r="C31" s="98" t="s">
        <v>647</v>
      </c>
      <c r="D31" s="20"/>
      <c r="E31" s="98" t="s">
        <v>648</v>
      </c>
      <c r="F31" s="100" t="s">
        <v>604</v>
      </c>
    </row>
    <row r="32" spans="1:6" ht="21.75" customHeight="1" x14ac:dyDescent="0.3">
      <c r="A32" s="98" t="s">
        <v>649</v>
      </c>
      <c r="B32" s="98" t="s">
        <v>650</v>
      </c>
      <c r="C32" s="98" t="s">
        <v>651</v>
      </c>
      <c r="D32" s="20"/>
      <c r="E32" s="98" t="s">
        <v>652</v>
      </c>
      <c r="F32" s="100" t="s">
        <v>604</v>
      </c>
    </row>
    <row r="33" spans="1:6" ht="21.75" customHeight="1" x14ac:dyDescent="0.3">
      <c r="A33" s="98" t="s">
        <v>653</v>
      </c>
      <c r="B33" s="98" t="s">
        <v>654</v>
      </c>
      <c r="C33" s="98" t="s">
        <v>655</v>
      </c>
      <c r="D33" s="20"/>
      <c r="E33" s="98" t="s">
        <v>656</v>
      </c>
      <c r="F33" s="100" t="s">
        <v>604</v>
      </c>
    </row>
    <row r="34" spans="1:6" ht="21.75" customHeight="1" x14ac:dyDescent="0.3">
      <c r="A34" s="98" t="s">
        <v>657</v>
      </c>
      <c r="B34" s="98" t="s">
        <v>658</v>
      </c>
      <c r="C34" s="98" t="s">
        <v>659</v>
      </c>
      <c r="D34" s="20"/>
      <c r="E34" s="98" t="s">
        <v>660</v>
      </c>
      <c r="F34" s="100" t="s">
        <v>604</v>
      </c>
    </row>
  </sheetData>
  <mergeCells count="9">
    <mergeCell ref="C26:D26"/>
    <mergeCell ref="C27:D27"/>
    <mergeCell ref="C28:D28"/>
    <mergeCell ref="C29:D29"/>
    <mergeCell ref="A13:F13"/>
    <mergeCell ref="A21:F21"/>
    <mergeCell ref="C23:D23"/>
    <mergeCell ref="C24:D24"/>
    <mergeCell ref="C25:D25"/>
  </mergeCells>
  <pageMargins left="0.75" right="0.75" top="1" bottom="1" header="0.511811023622047" footer="0.511811023622047"/>
  <pageSetup paperSize="9" orientation="portrait" horizontalDpi="300" verticalDpi="300"/>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C50"/>
  <sheetViews>
    <sheetView showGridLines="0" zoomScaleNormal="100" workbookViewId="0">
      <pane ySplit="1" topLeftCell="A2" activePane="bottomLeft" state="frozen"/>
      <selection pane="bottomLeft"/>
    </sheetView>
  </sheetViews>
  <sheetFormatPr defaultColWidth="8.6640625" defaultRowHeight="14.4" x14ac:dyDescent="0.3"/>
  <cols>
    <col min="1" max="1" width="32" customWidth="1"/>
    <col min="2" max="3" width="27" customWidth="1"/>
  </cols>
  <sheetData>
    <row r="1" spans="1:3" ht="15.75" customHeight="1" x14ac:dyDescent="0.3"/>
    <row r="3" spans="1:3" ht="15" customHeight="1" x14ac:dyDescent="0.3"/>
    <row r="4" spans="1:3" ht="23.25" customHeight="1" x14ac:dyDescent="0.3"/>
    <row r="5" spans="1:3" ht="19.5" customHeight="1" x14ac:dyDescent="0.3">
      <c r="A5" s="16" t="s">
        <v>0</v>
      </c>
    </row>
    <row r="6" spans="1:3" ht="24.75" customHeight="1" x14ac:dyDescent="0.3">
      <c r="A6" s="35" t="s">
        <v>661</v>
      </c>
    </row>
    <row r="7" spans="1:3" ht="42" customHeight="1" x14ac:dyDescent="0.3"/>
    <row r="8" spans="1:3" ht="21.75" customHeight="1" x14ac:dyDescent="0.3">
      <c r="A8" s="36" t="s">
        <v>662</v>
      </c>
      <c r="B8" s="20"/>
      <c r="C8" s="20"/>
    </row>
    <row r="9" spans="1:3" ht="21.75" customHeight="1" x14ac:dyDescent="0.3">
      <c r="A9" s="79" t="s">
        <v>633</v>
      </c>
      <c r="B9" s="79" t="s">
        <v>663</v>
      </c>
      <c r="C9" s="80" t="s">
        <v>664</v>
      </c>
    </row>
    <row r="10" spans="1:3" ht="21.75" customHeight="1" x14ac:dyDescent="0.3">
      <c r="A10" s="98" t="s">
        <v>665</v>
      </c>
      <c r="B10" s="105" t="s">
        <v>666</v>
      </c>
      <c r="C10" s="98" t="s">
        <v>667</v>
      </c>
    </row>
    <row r="11" spans="1:3" ht="21.75" customHeight="1" x14ac:dyDescent="0.3">
      <c r="A11" s="98" t="s">
        <v>668</v>
      </c>
      <c r="B11" s="105" t="s">
        <v>666</v>
      </c>
      <c r="C11" s="98" t="s">
        <v>669</v>
      </c>
    </row>
    <row r="12" spans="1:3" ht="21.75" customHeight="1" x14ac:dyDescent="0.3">
      <c r="A12" s="98" t="s">
        <v>670</v>
      </c>
      <c r="B12" s="105" t="s">
        <v>671</v>
      </c>
      <c r="C12" s="98" t="s">
        <v>672</v>
      </c>
    </row>
    <row r="13" spans="1:3" ht="21.75" customHeight="1" x14ac:dyDescent="0.3">
      <c r="A13" s="98" t="s">
        <v>673</v>
      </c>
      <c r="B13" s="105" t="s">
        <v>666</v>
      </c>
      <c r="C13" s="98" t="s">
        <v>674</v>
      </c>
    </row>
    <row r="14" spans="1:3" ht="21.75" customHeight="1" x14ac:dyDescent="0.3">
      <c r="A14" s="98" t="s">
        <v>675</v>
      </c>
      <c r="B14" s="105" t="s">
        <v>671</v>
      </c>
      <c r="C14" s="98" t="s">
        <v>676</v>
      </c>
    </row>
    <row r="15" spans="1:3" ht="21.75" customHeight="1" x14ac:dyDescent="0.3">
      <c r="A15" s="4" t="s">
        <v>677</v>
      </c>
      <c r="B15" s="4"/>
      <c r="C15" s="4"/>
    </row>
    <row r="16" spans="1:3" ht="21.75" customHeight="1" x14ac:dyDescent="0.3">
      <c r="A16" s="98" t="s">
        <v>678</v>
      </c>
      <c r="B16" s="105" t="s">
        <v>671</v>
      </c>
      <c r="C16" s="98" t="s">
        <v>679</v>
      </c>
    </row>
    <row r="17" spans="1:3" ht="21.75" customHeight="1" x14ac:dyDescent="0.3">
      <c r="A17" s="98" t="s">
        <v>680</v>
      </c>
      <c r="B17" s="105" t="s">
        <v>666</v>
      </c>
      <c r="C17" s="98" t="s">
        <v>681</v>
      </c>
    </row>
    <row r="18" spans="1:3" ht="21.75" customHeight="1" x14ac:dyDescent="0.3">
      <c r="A18" s="98" t="s">
        <v>682</v>
      </c>
      <c r="B18" s="105" t="s">
        <v>671</v>
      </c>
      <c r="C18" s="98" t="s">
        <v>683</v>
      </c>
    </row>
    <row r="19" spans="1:3" ht="42" customHeight="1" x14ac:dyDescent="0.3"/>
    <row r="20" spans="1:3" ht="21.75" customHeight="1" x14ac:dyDescent="0.3">
      <c r="A20" s="36" t="s">
        <v>684</v>
      </c>
      <c r="B20" s="20"/>
      <c r="C20" s="20"/>
    </row>
    <row r="21" spans="1:3" ht="21.75" customHeight="1" x14ac:dyDescent="0.3">
      <c r="A21" s="79" t="s">
        <v>633</v>
      </c>
      <c r="B21" s="79" t="s">
        <v>663</v>
      </c>
      <c r="C21" s="80" t="s">
        <v>664</v>
      </c>
    </row>
    <row r="22" spans="1:3" ht="21.75" customHeight="1" x14ac:dyDescent="0.3">
      <c r="A22" s="98" t="s">
        <v>685</v>
      </c>
      <c r="B22" s="105" t="s">
        <v>666</v>
      </c>
      <c r="C22" s="98" t="s">
        <v>686</v>
      </c>
    </row>
    <row r="23" spans="1:3" ht="21.75" customHeight="1" x14ac:dyDescent="0.3">
      <c r="A23" s="3" t="s">
        <v>687</v>
      </c>
      <c r="B23" s="3"/>
      <c r="C23" s="3"/>
    </row>
    <row r="24" spans="1:3" ht="21.75" customHeight="1" x14ac:dyDescent="0.3">
      <c r="A24" s="98" t="s">
        <v>688</v>
      </c>
      <c r="B24" s="105" t="s">
        <v>666</v>
      </c>
      <c r="C24" s="98" t="s">
        <v>689</v>
      </c>
    </row>
    <row r="25" spans="1:3" ht="21.75" customHeight="1" x14ac:dyDescent="0.3">
      <c r="A25" s="98" t="s">
        <v>690</v>
      </c>
      <c r="B25" s="105" t="s">
        <v>666</v>
      </c>
      <c r="C25" s="98" t="s">
        <v>691</v>
      </c>
    </row>
    <row r="26" spans="1:3" ht="21.75" customHeight="1" x14ac:dyDescent="0.3">
      <c r="A26" s="98" t="s">
        <v>692</v>
      </c>
      <c r="B26" s="105" t="s">
        <v>671</v>
      </c>
      <c r="C26" s="98" t="s">
        <v>693</v>
      </c>
    </row>
    <row r="27" spans="1:3" ht="42" customHeight="1" x14ac:dyDescent="0.3"/>
    <row r="28" spans="1:3" ht="21.75" customHeight="1" x14ac:dyDescent="0.3">
      <c r="A28" s="36" t="s">
        <v>694</v>
      </c>
      <c r="B28" s="20"/>
      <c r="C28" s="20"/>
    </row>
    <row r="29" spans="1:3" ht="21.75" customHeight="1" x14ac:dyDescent="0.3">
      <c r="A29" s="79" t="s">
        <v>633</v>
      </c>
      <c r="B29" s="79" t="s">
        <v>663</v>
      </c>
      <c r="C29" s="80" t="s">
        <v>664</v>
      </c>
    </row>
    <row r="30" spans="1:3" ht="21.75" customHeight="1" x14ac:dyDescent="0.3">
      <c r="A30" s="98" t="s">
        <v>695</v>
      </c>
      <c r="B30" s="105" t="s">
        <v>666</v>
      </c>
      <c r="C30" s="98" t="s">
        <v>696</v>
      </c>
    </row>
    <row r="31" spans="1:3" ht="21.75" customHeight="1" x14ac:dyDescent="0.3">
      <c r="A31" s="98" t="s">
        <v>697</v>
      </c>
      <c r="B31" s="105" t="s">
        <v>666</v>
      </c>
      <c r="C31" s="98" t="s">
        <v>698</v>
      </c>
    </row>
    <row r="32" spans="1:3" ht="21.75" customHeight="1" x14ac:dyDescent="0.3">
      <c r="A32" s="3" t="s">
        <v>699</v>
      </c>
      <c r="B32" s="3"/>
      <c r="C32" s="3"/>
    </row>
    <row r="33" spans="1:3" ht="21.75" customHeight="1" x14ac:dyDescent="0.3">
      <c r="A33" s="98" t="s">
        <v>700</v>
      </c>
      <c r="B33" s="98" t="s">
        <v>701</v>
      </c>
      <c r="C33" s="98" t="s">
        <v>702</v>
      </c>
    </row>
    <row r="34" spans="1:3" ht="21.75" customHeight="1" x14ac:dyDescent="0.3">
      <c r="A34" s="98" t="s">
        <v>703</v>
      </c>
      <c r="B34" s="98" t="s">
        <v>701</v>
      </c>
      <c r="C34" s="98" t="s">
        <v>704</v>
      </c>
    </row>
    <row r="35" spans="1:3" ht="21.75" customHeight="1" x14ac:dyDescent="0.3">
      <c r="A35" s="98" t="s">
        <v>705</v>
      </c>
      <c r="B35" s="105" t="s">
        <v>666</v>
      </c>
      <c r="C35" s="98" t="s">
        <v>706</v>
      </c>
    </row>
    <row r="36" spans="1:3" ht="42" customHeight="1" x14ac:dyDescent="0.3"/>
    <row r="37" spans="1:3" ht="21.75" customHeight="1" x14ac:dyDescent="0.3">
      <c r="A37" s="36" t="s">
        <v>707</v>
      </c>
      <c r="B37" s="20"/>
      <c r="C37" s="20"/>
    </row>
    <row r="38" spans="1:3" ht="21.75" customHeight="1" x14ac:dyDescent="0.3">
      <c r="A38" s="79" t="s">
        <v>633</v>
      </c>
      <c r="B38" s="79" t="s">
        <v>663</v>
      </c>
      <c r="C38" s="80" t="s">
        <v>664</v>
      </c>
    </row>
    <row r="39" spans="1:3" ht="21.75" customHeight="1" x14ac:dyDescent="0.3">
      <c r="A39" s="98" t="s">
        <v>708</v>
      </c>
      <c r="B39" s="105" t="s">
        <v>666</v>
      </c>
      <c r="C39" s="98" t="s">
        <v>709</v>
      </c>
    </row>
    <row r="40" spans="1:3" ht="21.75" customHeight="1" x14ac:dyDescent="0.3">
      <c r="A40" s="3" t="s">
        <v>710</v>
      </c>
      <c r="B40" s="3"/>
      <c r="C40" s="3"/>
    </row>
    <row r="41" spans="1:3" ht="21.75" customHeight="1" x14ac:dyDescent="0.3">
      <c r="A41" s="98" t="s">
        <v>711</v>
      </c>
      <c r="B41" s="105" t="s">
        <v>671</v>
      </c>
      <c r="C41" s="98" t="s">
        <v>712</v>
      </c>
    </row>
    <row r="42" spans="1:3" ht="21.75" customHeight="1" x14ac:dyDescent="0.3">
      <c r="A42" s="98" t="s">
        <v>713</v>
      </c>
      <c r="B42" s="105" t="s">
        <v>666</v>
      </c>
      <c r="C42" s="98" t="s">
        <v>714</v>
      </c>
    </row>
    <row r="43" spans="1:3" ht="21.75" customHeight="1" x14ac:dyDescent="0.3">
      <c r="A43" s="98" t="s">
        <v>715</v>
      </c>
      <c r="B43" s="105" t="s">
        <v>671</v>
      </c>
      <c r="C43" s="98" t="s">
        <v>716</v>
      </c>
    </row>
    <row r="44" spans="1:3" ht="42" customHeight="1" x14ac:dyDescent="0.3"/>
    <row r="45" spans="1:3" ht="21.75" customHeight="1" x14ac:dyDescent="0.3">
      <c r="A45" s="36" t="s">
        <v>717</v>
      </c>
      <c r="B45" s="20"/>
      <c r="C45" s="20"/>
    </row>
    <row r="46" spans="1:3" ht="21.75" customHeight="1" x14ac:dyDescent="0.3">
      <c r="A46" s="79" t="s">
        <v>633</v>
      </c>
      <c r="B46" s="79" t="s">
        <v>663</v>
      </c>
      <c r="C46" s="80" t="s">
        <v>664</v>
      </c>
    </row>
    <row r="47" spans="1:3" ht="21.75" customHeight="1" x14ac:dyDescent="0.3">
      <c r="A47" s="98" t="s">
        <v>718</v>
      </c>
      <c r="B47" s="105" t="s">
        <v>666</v>
      </c>
      <c r="C47" s="98" t="s">
        <v>719</v>
      </c>
    </row>
    <row r="48" spans="1:3" ht="21.75" customHeight="1" x14ac:dyDescent="0.3">
      <c r="A48" s="98" t="s">
        <v>720</v>
      </c>
      <c r="B48" s="105" t="s">
        <v>671</v>
      </c>
      <c r="C48" s="98" t="s">
        <v>721</v>
      </c>
    </row>
    <row r="49" spans="1:3" ht="21.75" customHeight="1" x14ac:dyDescent="0.3">
      <c r="A49" s="98" t="s">
        <v>722</v>
      </c>
      <c r="B49" s="105" t="s">
        <v>666</v>
      </c>
      <c r="C49" s="98" t="s">
        <v>723</v>
      </c>
    </row>
    <row r="50" spans="1:3" ht="21.75" customHeight="1" x14ac:dyDescent="0.3">
      <c r="A50" s="98" t="s">
        <v>724</v>
      </c>
      <c r="B50" s="98" t="s">
        <v>701</v>
      </c>
      <c r="C50" s="98" t="s">
        <v>725</v>
      </c>
    </row>
  </sheetData>
  <mergeCells count="4">
    <mergeCell ref="A15:C15"/>
    <mergeCell ref="A23:C23"/>
    <mergeCell ref="A32:C32"/>
    <mergeCell ref="A40:C40"/>
  </mergeCells>
  <pageMargins left="0.75" right="0.75" top="1" bottom="1" header="0.511811023622047" footer="0.511811023622047"/>
  <pageSetup paperSize="9" orientation="portrait" horizontalDpi="300" verticalDpi="300"/>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C13"/>
  <sheetViews>
    <sheetView showGridLines="0" zoomScaleNormal="100" workbookViewId="0">
      <pane ySplit="3" topLeftCell="A4" activePane="bottomLeft" state="frozen"/>
      <selection pane="bottomLeft"/>
    </sheetView>
  </sheetViews>
  <sheetFormatPr defaultColWidth="8.6640625" defaultRowHeight="14.4" x14ac:dyDescent="0.3"/>
  <cols>
    <col min="1" max="1" width="14" customWidth="1"/>
    <col min="2" max="2" width="49" customWidth="1"/>
    <col min="3" max="3" width="14" customWidth="1"/>
  </cols>
  <sheetData>
    <row r="1" spans="1:3" ht="15.75" customHeight="1" x14ac:dyDescent="0.3"/>
    <row r="3" spans="1:3" ht="15" customHeight="1" x14ac:dyDescent="0.3"/>
    <row r="4" spans="1:3" ht="109.5" customHeight="1" x14ac:dyDescent="0.3"/>
    <row r="5" spans="1:3" ht="19.5" customHeight="1" x14ac:dyDescent="0.3">
      <c r="A5" s="16" t="s">
        <v>0</v>
      </c>
    </row>
    <row r="6" spans="1:3" ht="24.75" customHeight="1" x14ac:dyDescent="0.3">
      <c r="A6" s="35" t="s">
        <v>726</v>
      </c>
    </row>
    <row r="7" spans="1:3" ht="109.5" customHeight="1" x14ac:dyDescent="0.3"/>
    <row r="8" spans="1:3" ht="21.75" customHeight="1" x14ac:dyDescent="0.3">
      <c r="A8" s="79" t="s">
        <v>727</v>
      </c>
      <c r="B8" s="79" t="s">
        <v>728</v>
      </c>
      <c r="C8" s="80" t="s">
        <v>729</v>
      </c>
    </row>
    <row r="9" spans="1:3" ht="21.75" customHeight="1" x14ac:dyDescent="0.3">
      <c r="A9" s="34">
        <v>1</v>
      </c>
      <c r="B9" s="20" t="s">
        <v>730</v>
      </c>
      <c r="C9" s="20" t="s">
        <v>731</v>
      </c>
    </row>
    <row r="10" spans="1:3" ht="21.75" customHeight="1" x14ac:dyDescent="0.3">
      <c r="A10" s="34">
        <v>2</v>
      </c>
      <c r="B10" s="20" t="s">
        <v>732</v>
      </c>
      <c r="C10" s="20" t="s">
        <v>733</v>
      </c>
    </row>
    <row r="11" spans="1:3" ht="21.75" customHeight="1" x14ac:dyDescent="0.3">
      <c r="A11" s="34">
        <v>3</v>
      </c>
      <c r="B11" s="20" t="s">
        <v>734</v>
      </c>
      <c r="C11" s="20" t="s">
        <v>735</v>
      </c>
    </row>
    <row r="12" spans="1:3" ht="21.75" customHeight="1" x14ac:dyDescent="0.3">
      <c r="A12" s="34">
        <v>4</v>
      </c>
      <c r="B12" s="20" t="s">
        <v>736</v>
      </c>
      <c r="C12" s="20" t="s">
        <v>737</v>
      </c>
    </row>
    <row r="13" spans="1:3" ht="21.75" customHeight="1" x14ac:dyDescent="0.3">
      <c r="A13" s="34">
        <v>5</v>
      </c>
      <c r="B13" s="20" t="s">
        <v>738</v>
      </c>
      <c r="C13" s="20" t="s">
        <v>739</v>
      </c>
    </row>
  </sheetData>
  <pageMargins left="0.75" right="0.75" top="1" bottom="1" header="0.511811023622047" footer="0.511811023622047"/>
  <pageSetup paperSize="9" orientation="portrait" horizontalDpi="300" verticalDpi="300"/>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H21"/>
  <sheetViews>
    <sheetView showGridLines="0" zoomScaleNormal="100" workbookViewId="0">
      <pane ySplit="3" topLeftCell="A4" activePane="bottomLeft" state="frozen"/>
      <selection pane="bottomLeft"/>
    </sheetView>
  </sheetViews>
  <sheetFormatPr defaultColWidth="8.6640625" defaultRowHeight="14.4" x14ac:dyDescent="0.3"/>
  <cols>
    <col min="1" max="1" width="70" customWidth="1"/>
    <col min="2" max="2" width="18" customWidth="1"/>
    <col min="3" max="3" width="21" customWidth="1"/>
    <col min="4" max="4" width="27" customWidth="1"/>
    <col min="5" max="5" width="17" customWidth="1"/>
    <col min="6" max="6" width="68" customWidth="1"/>
    <col min="7" max="7" width="70" customWidth="1"/>
    <col min="8" max="8" width="44" customWidth="1"/>
  </cols>
  <sheetData>
    <row r="1" spans="1:8" ht="15.75" customHeight="1" x14ac:dyDescent="0.3"/>
    <row r="2" spans="1:8" ht="54.75" customHeight="1" x14ac:dyDescent="0.3"/>
    <row r="4" spans="1:8" ht="34.5" customHeight="1" x14ac:dyDescent="0.3"/>
    <row r="5" spans="1:8" ht="19.5" customHeight="1" x14ac:dyDescent="0.3">
      <c r="A5" s="16" t="s">
        <v>0</v>
      </c>
    </row>
    <row r="6" spans="1:8" ht="24.75" customHeight="1" x14ac:dyDescent="0.3">
      <c r="A6" s="35" t="s">
        <v>740</v>
      </c>
    </row>
    <row r="7" spans="1:8" ht="18" customHeight="1" x14ac:dyDescent="0.3">
      <c r="A7" s="97" t="s">
        <v>741</v>
      </c>
    </row>
    <row r="8" spans="1:8" ht="39.75" customHeight="1" x14ac:dyDescent="0.3"/>
    <row r="9" spans="1:8" ht="21.75" customHeight="1" x14ac:dyDescent="0.3">
      <c r="A9" s="79" t="s">
        <v>586</v>
      </c>
      <c r="B9" s="79" t="s">
        <v>742</v>
      </c>
      <c r="C9" s="80" t="s">
        <v>743</v>
      </c>
      <c r="D9" s="80" t="s">
        <v>744</v>
      </c>
      <c r="E9" s="81" t="s">
        <v>745</v>
      </c>
      <c r="F9" s="81" t="s">
        <v>746</v>
      </c>
      <c r="G9" s="81" t="s">
        <v>747</v>
      </c>
      <c r="H9" s="80" t="s">
        <v>600</v>
      </c>
    </row>
    <row r="10" spans="1:8" ht="21.75" customHeight="1" x14ac:dyDescent="0.3">
      <c r="A10" s="98" t="s">
        <v>748</v>
      </c>
      <c r="B10" s="106">
        <v>85</v>
      </c>
      <c r="C10" s="106">
        <v>4.8</v>
      </c>
      <c r="D10" s="98" t="s">
        <v>749</v>
      </c>
      <c r="E10" s="107">
        <f>B10/C10</f>
        <v>17.708333333333336</v>
      </c>
      <c r="F10" s="98" t="s">
        <v>750</v>
      </c>
      <c r="G10" s="98" t="s">
        <v>751</v>
      </c>
      <c r="H10" s="98" t="s">
        <v>752</v>
      </c>
    </row>
    <row r="11" spans="1:8" ht="21.75" customHeight="1" x14ac:dyDescent="0.3">
      <c r="A11" s="98" t="s">
        <v>753</v>
      </c>
      <c r="B11" s="106">
        <v>21.5</v>
      </c>
      <c r="C11" s="106">
        <v>4.8</v>
      </c>
      <c r="D11" s="98" t="s">
        <v>754</v>
      </c>
      <c r="E11" s="107">
        <f>B11/C11</f>
        <v>4.479166666666667</v>
      </c>
      <c r="F11" s="98" t="s">
        <v>755</v>
      </c>
      <c r="G11" s="98" t="s">
        <v>756</v>
      </c>
      <c r="H11" s="98" t="s">
        <v>757</v>
      </c>
    </row>
    <row r="12" spans="1:8" ht="21.75" customHeight="1" x14ac:dyDescent="0.3">
      <c r="A12" s="3" t="s">
        <v>758</v>
      </c>
      <c r="B12" s="3"/>
      <c r="C12" s="3"/>
      <c r="D12" s="3"/>
      <c r="E12" s="3"/>
      <c r="F12" s="3"/>
      <c r="G12" s="3"/>
      <c r="H12" s="3"/>
    </row>
    <row r="13" spans="1:8" ht="21.75" customHeight="1" x14ac:dyDescent="0.3">
      <c r="A13" s="98" t="s">
        <v>759</v>
      </c>
      <c r="B13" s="106">
        <v>1</v>
      </c>
      <c r="C13" s="2" t="s">
        <v>760</v>
      </c>
      <c r="D13" s="2"/>
      <c r="E13" s="2"/>
      <c r="F13" s="2"/>
      <c r="G13" s="2"/>
      <c r="H13" s="2"/>
    </row>
    <row r="14" spans="1:8" ht="21.75" customHeight="1" x14ac:dyDescent="0.3">
      <c r="A14" s="98" t="s">
        <v>761</v>
      </c>
      <c r="B14" s="108" t="s">
        <v>760</v>
      </c>
      <c r="C14" s="2" t="s">
        <v>760</v>
      </c>
      <c r="D14" s="2"/>
      <c r="E14" s="2"/>
      <c r="F14" s="2"/>
      <c r="G14" s="2"/>
      <c r="H14" s="2"/>
    </row>
    <row r="15" spans="1:8" ht="21.75" customHeight="1" x14ac:dyDescent="0.3">
      <c r="A15" s="98" t="s">
        <v>762</v>
      </c>
      <c r="B15" s="108" t="s">
        <v>760</v>
      </c>
      <c r="C15" s="2" t="s">
        <v>760</v>
      </c>
      <c r="D15" s="2"/>
      <c r="E15" s="2"/>
      <c r="F15" s="2"/>
      <c r="G15" s="2"/>
      <c r="H15" s="2"/>
    </row>
    <row r="16" spans="1:8" ht="45" customHeight="1" x14ac:dyDescent="0.3">
      <c r="C16" s="12"/>
      <c r="D16" s="12"/>
      <c r="E16" s="12"/>
      <c r="F16" s="12"/>
      <c r="G16" s="12"/>
      <c r="H16" s="12"/>
    </row>
    <row r="17" spans="1:8" ht="21.75" customHeight="1" x14ac:dyDescent="0.3">
      <c r="A17" s="36" t="s">
        <v>763</v>
      </c>
      <c r="B17" s="20"/>
      <c r="C17" s="20"/>
      <c r="D17" s="20"/>
      <c r="E17" s="20"/>
      <c r="F17" s="20"/>
      <c r="G17" s="20"/>
      <c r="H17" s="20"/>
    </row>
    <row r="18" spans="1:8" ht="21.75" customHeight="1" x14ac:dyDescent="0.3">
      <c r="A18" s="37" t="s">
        <v>764</v>
      </c>
      <c r="B18" s="37" t="s">
        <v>745</v>
      </c>
      <c r="C18" s="37" t="s">
        <v>729</v>
      </c>
      <c r="D18" s="20"/>
      <c r="E18" s="20"/>
      <c r="F18" s="20"/>
      <c r="G18" s="20"/>
      <c r="H18" s="20"/>
    </row>
    <row r="19" spans="1:8" ht="21.75" customHeight="1" x14ac:dyDescent="0.3">
      <c r="A19" s="98" t="s">
        <v>765</v>
      </c>
      <c r="B19" s="109">
        <v>4</v>
      </c>
      <c r="C19" s="98" t="s">
        <v>766</v>
      </c>
      <c r="D19" s="20"/>
      <c r="E19" s="20"/>
      <c r="F19" s="20"/>
      <c r="G19" s="20"/>
      <c r="H19" s="20"/>
    </row>
    <row r="20" spans="1:8" ht="21.75" customHeight="1" x14ac:dyDescent="0.3">
      <c r="A20" s="98" t="s">
        <v>767</v>
      </c>
      <c r="B20" s="109">
        <v>7</v>
      </c>
      <c r="C20" s="98" t="s">
        <v>768</v>
      </c>
      <c r="D20" s="20"/>
      <c r="E20" s="20"/>
      <c r="F20" s="20"/>
      <c r="G20" s="20"/>
      <c r="H20" s="20"/>
    </row>
    <row r="21" spans="1:8" ht="21.75" customHeight="1" x14ac:dyDescent="0.3">
      <c r="A21" s="98" t="s">
        <v>769</v>
      </c>
      <c r="B21" s="109">
        <v>12</v>
      </c>
      <c r="C21" s="98" t="s">
        <v>770</v>
      </c>
      <c r="D21" s="20"/>
      <c r="E21" s="20"/>
      <c r="F21" s="20"/>
      <c r="G21" s="20"/>
      <c r="H21" s="20"/>
    </row>
  </sheetData>
  <mergeCells count="5">
    <mergeCell ref="A12:H12"/>
    <mergeCell ref="C13:H13"/>
    <mergeCell ref="C14:H14"/>
    <mergeCell ref="C15:H15"/>
    <mergeCell ref="C16:H16"/>
  </mergeCells>
  <pageMargins left="0.75" right="0.75" top="1" bottom="1" header="0.511811023622047" footer="0.511811023622047"/>
  <pageSetup paperSize="9" orientation="portrait" horizontalDpi="300" verticalDpi="300"/>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G38"/>
  <sheetViews>
    <sheetView showGridLines="0" zoomScaleNormal="100" workbookViewId="0">
      <pane ySplit="5" topLeftCell="A6" activePane="bottomLeft" state="frozen"/>
      <selection pane="bottomLeft"/>
    </sheetView>
  </sheetViews>
  <sheetFormatPr defaultColWidth="8.6640625" defaultRowHeight="14.4" x14ac:dyDescent="0.3"/>
  <cols>
    <col min="1" max="1" width="36" customWidth="1"/>
    <col min="2" max="2" width="46" customWidth="1"/>
    <col min="3" max="3" width="37" customWidth="1"/>
    <col min="4" max="4" width="32" customWidth="1"/>
    <col min="5" max="5" width="30" customWidth="1"/>
    <col min="6" max="6" width="31" customWidth="1"/>
    <col min="7" max="7" width="16" customWidth="1"/>
  </cols>
  <sheetData>
    <row r="1" spans="1:7" ht="15.75" customHeight="1" x14ac:dyDescent="0.3"/>
    <row r="2" spans="1:7" ht="54.75" customHeight="1" x14ac:dyDescent="0.3"/>
    <row r="5" spans="1:7" ht="19.5" customHeight="1" x14ac:dyDescent="0.3">
      <c r="A5" s="16" t="s">
        <v>0</v>
      </c>
    </row>
    <row r="6" spans="1:7" ht="24.75" customHeight="1" x14ac:dyDescent="0.3">
      <c r="A6" s="35" t="s">
        <v>771</v>
      </c>
    </row>
    <row r="7" spans="1:7" ht="18" customHeight="1" x14ac:dyDescent="0.3">
      <c r="A7" s="97" t="s">
        <v>772</v>
      </c>
    </row>
    <row r="8" spans="1:7" ht="15" customHeight="1" x14ac:dyDescent="0.3">
      <c r="A8" s="12"/>
      <c r="B8" s="12"/>
      <c r="C8" s="12"/>
      <c r="D8" s="12"/>
      <c r="E8" s="12"/>
      <c r="F8" s="12"/>
      <c r="G8" s="12"/>
    </row>
    <row r="9" spans="1:7" ht="15" customHeight="1" x14ac:dyDescent="0.3"/>
    <row r="10" spans="1:7" ht="21.75" customHeight="1" x14ac:dyDescent="0.3">
      <c r="A10" s="1" t="s">
        <v>773</v>
      </c>
      <c r="B10" s="1"/>
      <c r="C10" s="1"/>
      <c r="D10" s="1"/>
      <c r="E10" s="1"/>
      <c r="F10" s="1"/>
      <c r="G10" s="1"/>
    </row>
    <row r="11" spans="1:7" ht="21.75" customHeight="1" x14ac:dyDescent="0.3">
      <c r="A11" s="79" t="s">
        <v>536</v>
      </c>
      <c r="B11" s="79" t="s">
        <v>774</v>
      </c>
      <c r="C11" s="80" t="s">
        <v>775</v>
      </c>
      <c r="D11" s="80" t="s">
        <v>776</v>
      </c>
      <c r="E11" s="81" t="s">
        <v>777</v>
      </c>
      <c r="F11" s="81" t="s">
        <v>778</v>
      </c>
      <c r="G11" s="81" t="s">
        <v>779</v>
      </c>
    </row>
    <row r="12" spans="1:7" ht="21.75" customHeight="1" x14ac:dyDescent="0.3">
      <c r="A12" s="98" t="s">
        <v>602</v>
      </c>
      <c r="B12" s="99">
        <f>'Management Projections'!B11</f>
        <v>4.5999999999999996</v>
      </c>
      <c r="C12" s="99">
        <f>'Management Projections'!C11</f>
        <v>6.2</v>
      </c>
      <c r="D12" s="99">
        <f>'Management Projections'!D11</f>
        <v>8.1</v>
      </c>
      <c r="E12" s="110">
        <v>7.6</v>
      </c>
      <c r="F12" s="110">
        <v>7.2</v>
      </c>
      <c r="G12" s="111">
        <v>6.8</v>
      </c>
    </row>
    <row r="13" spans="1:7" ht="21.75" customHeight="1" x14ac:dyDescent="0.3">
      <c r="A13" s="139" t="s">
        <v>780</v>
      </c>
      <c r="B13" s="139"/>
      <c r="C13" s="139"/>
      <c r="D13" s="139"/>
      <c r="E13" s="139"/>
      <c r="F13" s="139"/>
      <c r="G13" s="139"/>
    </row>
    <row r="14" spans="1:7" ht="21.75" customHeight="1" x14ac:dyDescent="0.3">
      <c r="A14" s="98" t="s">
        <v>606</v>
      </c>
      <c r="B14" s="113">
        <f>'Management Projections'!B14</f>
        <v>29.91</v>
      </c>
      <c r="C14" s="113">
        <f>'Management Projections'!C14</f>
        <v>37.03</v>
      </c>
      <c r="D14" s="113">
        <f>'Management Projections'!D14</f>
        <v>41.69</v>
      </c>
      <c r="E14" s="114">
        <f>D14*1.08</f>
        <v>45.025199999999998</v>
      </c>
      <c r="F14" s="114">
        <f>E14*1.06</f>
        <v>47.726711999999999</v>
      </c>
      <c r="G14" s="114">
        <f>F14*1.05</f>
        <v>50.113047600000002</v>
      </c>
    </row>
    <row r="15" spans="1:7" ht="21.75" customHeight="1" x14ac:dyDescent="0.3">
      <c r="A15" s="112" t="s">
        <v>781</v>
      </c>
      <c r="B15" s="20"/>
      <c r="C15" s="20"/>
      <c r="D15" s="20"/>
      <c r="E15" s="20"/>
      <c r="F15" s="20"/>
      <c r="G15" s="20"/>
    </row>
    <row r="16" spans="1:7" ht="21.75" customHeight="1" x14ac:dyDescent="0.3">
      <c r="A16" s="115" t="s">
        <v>782</v>
      </c>
      <c r="B16" s="116">
        <f t="shared" ref="B16:G16" si="0">B12*B14</f>
        <v>137.58599999999998</v>
      </c>
      <c r="C16" s="116">
        <f t="shared" si="0"/>
        <v>229.58600000000001</v>
      </c>
      <c r="D16" s="116">
        <f t="shared" si="0"/>
        <v>337.68899999999996</v>
      </c>
      <c r="E16" s="117">
        <f t="shared" si="0"/>
        <v>342.19151999999997</v>
      </c>
      <c r="F16" s="117">
        <f t="shared" si="0"/>
        <v>343.63232640000001</v>
      </c>
      <c r="G16" s="117">
        <f t="shared" si="0"/>
        <v>340.76872367999999</v>
      </c>
    </row>
    <row r="17" spans="1:7" ht="48" customHeight="1" x14ac:dyDescent="0.3"/>
    <row r="18" spans="1:7" ht="21.75" customHeight="1" x14ac:dyDescent="0.3">
      <c r="A18" s="36" t="s">
        <v>783</v>
      </c>
      <c r="B18" s="20"/>
      <c r="C18" s="20"/>
      <c r="D18" s="20"/>
      <c r="E18" s="20"/>
      <c r="F18" s="20"/>
      <c r="G18" s="20"/>
    </row>
    <row r="19" spans="1:7" ht="21.75" customHeight="1" x14ac:dyDescent="0.3">
      <c r="A19" s="8" t="s">
        <v>784</v>
      </c>
      <c r="B19" s="8"/>
      <c r="C19" s="8"/>
      <c r="D19" s="8"/>
      <c r="E19" s="8"/>
      <c r="F19" s="8"/>
      <c r="G19" s="8"/>
    </row>
    <row r="20" spans="1:7" ht="21.75" customHeight="1" x14ac:dyDescent="0.3">
      <c r="A20" s="115" t="s">
        <v>785</v>
      </c>
      <c r="B20" s="116">
        <f>G16*0.82</f>
        <v>279.43035341759997</v>
      </c>
      <c r="C20" s="98" t="s">
        <v>786</v>
      </c>
      <c r="D20" s="109">
        <v>4</v>
      </c>
      <c r="E20" s="116">
        <f>B20*D20</f>
        <v>1117.7214136703999</v>
      </c>
      <c r="F20" s="118">
        <v>80</v>
      </c>
      <c r="G20" s="119">
        <f>E20+F20</f>
        <v>1197.7214136703999</v>
      </c>
    </row>
    <row r="21" spans="1:7" ht="21.75" customHeight="1" x14ac:dyDescent="0.3">
      <c r="A21" s="115" t="s">
        <v>787</v>
      </c>
      <c r="B21" s="116">
        <f>G16</f>
        <v>340.76872367999999</v>
      </c>
      <c r="C21" s="98" t="s">
        <v>788</v>
      </c>
      <c r="D21" s="109">
        <v>7</v>
      </c>
      <c r="E21" s="116">
        <f>B21*D21</f>
        <v>2385.3810657599997</v>
      </c>
      <c r="F21" s="118">
        <v>130</v>
      </c>
      <c r="G21" s="119">
        <f>E21+F21</f>
        <v>2515.3810657599997</v>
      </c>
    </row>
    <row r="22" spans="1:7" ht="21.75" customHeight="1" x14ac:dyDescent="0.3">
      <c r="A22" s="115" t="s">
        <v>789</v>
      </c>
      <c r="B22" s="116">
        <f>G16*1.2</f>
        <v>408.92246841599996</v>
      </c>
      <c r="C22" s="98" t="s">
        <v>790</v>
      </c>
      <c r="D22" s="109">
        <v>12</v>
      </c>
      <c r="E22" s="116">
        <f>B22*D22</f>
        <v>4907.0696209919997</v>
      </c>
      <c r="F22" s="118">
        <v>200</v>
      </c>
      <c r="G22" s="119">
        <f>E22+F22</f>
        <v>5107.0696209919997</v>
      </c>
    </row>
    <row r="23" spans="1:7" ht="39.75" customHeight="1" x14ac:dyDescent="0.3"/>
    <row r="24" spans="1:7" ht="21.75" customHeight="1" x14ac:dyDescent="0.3">
      <c r="A24" s="120" t="s">
        <v>791</v>
      </c>
      <c r="B24" s="45"/>
      <c r="C24" s="45"/>
      <c r="D24" s="45"/>
      <c r="E24" s="45"/>
      <c r="F24" s="45"/>
      <c r="G24" s="45"/>
    </row>
    <row r="25" spans="1:7" ht="21.75" customHeight="1" x14ac:dyDescent="0.3">
      <c r="A25" s="37" t="s">
        <v>784</v>
      </c>
      <c r="B25" s="37" t="s">
        <v>792</v>
      </c>
      <c r="C25" s="37" t="s">
        <v>793</v>
      </c>
      <c r="D25" s="37" t="s">
        <v>794</v>
      </c>
      <c r="E25" s="37" t="s">
        <v>795</v>
      </c>
      <c r="F25" s="37" t="s">
        <v>796</v>
      </c>
      <c r="G25" s="121"/>
    </row>
    <row r="26" spans="1:7" ht="21.75" customHeight="1" x14ac:dyDescent="0.3">
      <c r="A26" s="140" t="s">
        <v>785</v>
      </c>
      <c r="B26" s="140"/>
      <c r="C26" s="140"/>
      <c r="D26" s="140"/>
      <c r="E26" s="140"/>
      <c r="F26" s="140"/>
      <c r="G26" s="140"/>
    </row>
    <row r="27" spans="1:7" ht="21.75" customHeight="1" x14ac:dyDescent="0.3">
      <c r="A27" s="140" t="s">
        <v>787</v>
      </c>
      <c r="B27" s="140"/>
      <c r="C27" s="140"/>
      <c r="D27" s="140"/>
      <c r="E27" s="140"/>
      <c r="F27" s="140"/>
      <c r="G27" s="140"/>
    </row>
    <row r="28" spans="1:7" ht="21.75" customHeight="1" x14ac:dyDescent="0.3">
      <c r="A28" s="115" t="s">
        <v>789</v>
      </c>
      <c r="B28" s="99">
        <f>'Cap Table &amp; Ownership'!B16/1000000</f>
        <v>213.388441</v>
      </c>
      <c r="C28" s="122" t="s">
        <v>797</v>
      </c>
      <c r="D28" s="99">
        <f>B28*1.17</f>
        <v>249.66447596999998</v>
      </c>
      <c r="E28" s="116">
        <f>G22</f>
        <v>5107.0696209919997</v>
      </c>
      <c r="F28" s="123">
        <f>E28*1000000/(D28*1000000)</f>
        <v>20.455732042574098</v>
      </c>
      <c r="G28" s="20"/>
    </row>
    <row r="29" spans="1:7" ht="45.75" customHeight="1" x14ac:dyDescent="0.3"/>
    <row r="30" spans="1:7" ht="48" customHeight="1" x14ac:dyDescent="0.3"/>
    <row r="31" spans="1:7" ht="21.75" customHeight="1" x14ac:dyDescent="0.3">
      <c r="A31" s="36" t="s">
        <v>798</v>
      </c>
      <c r="B31" s="20"/>
      <c r="C31" s="20"/>
      <c r="D31" s="20"/>
      <c r="E31" s="20"/>
      <c r="F31" s="20"/>
      <c r="G31" s="20"/>
    </row>
    <row r="32" spans="1:7" ht="21.75" customHeight="1" x14ac:dyDescent="0.3">
      <c r="A32" s="98" t="s">
        <v>799</v>
      </c>
      <c r="B32" s="20"/>
      <c r="C32" s="20"/>
      <c r="D32" s="20"/>
      <c r="E32" s="20"/>
      <c r="F32" s="20"/>
      <c r="G32" s="20"/>
    </row>
    <row r="33" spans="1:7" ht="60" customHeight="1" x14ac:dyDescent="0.3">
      <c r="A33" s="12"/>
      <c r="B33" s="12"/>
      <c r="C33" s="12"/>
      <c r="D33" s="12"/>
      <c r="E33" s="12"/>
      <c r="F33" s="12"/>
      <c r="G33" s="12"/>
    </row>
    <row r="34" spans="1:7" ht="21.75" customHeight="1" x14ac:dyDescent="0.3">
      <c r="A34" s="37" t="s">
        <v>784</v>
      </c>
      <c r="B34" s="37" t="s">
        <v>800</v>
      </c>
      <c r="C34" s="37" t="s">
        <v>801</v>
      </c>
      <c r="D34" s="37" t="s">
        <v>802</v>
      </c>
      <c r="E34" s="37" t="s">
        <v>803</v>
      </c>
      <c r="F34" s="37" t="s">
        <v>804</v>
      </c>
      <c r="G34" s="37" t="s">
        <v>805</v>
      </c>
    </row>
    <row r="35" spans="1:7" ht="21.75" customHeight="1" x14ac:dyDescent="0.3">
      <c r="A35" s="115" t="s">
        <v>785</v>
      </c>
      <c r="B35" s="124">
        <v>0.18</v>
      </c>
      <c r="C35" s="98" t="s">
        <v>806</v>
      </c>
      <c r="D35" s="116">
        <f>'Management Projections'!B12</f>
        <v>126</v>
      </c>
      <c r="E35" s="116">
        <f>D35*(1+B35)^5</f>
        <v>288.25747735679988</v>
      </c>
      <c r="F35" s="116">
        <f>B20</f>
        <v>279.43035341759997</v>
      </c>
      <c r="G35" s="125">
        <f>F35/E35-1</f>
        <v>-3.0622358941530092E-2</v>
      </c>
    </row>
    <row r="36" spans="1:7" ht="21.75" customHeight="1" x14ac:dyDescent="0.3">
      <c r="A36" s="115" t="s">
        <v>787</v>
      </c>
      <c r="B36" s="124">
        <v>0.22</v>
      </c>
      <c r="C36" s="98" t="s">
        <v>807</v>
      </c>
      <c r="D36" s="116">
        <f>'Management Projections'!B12</f>
        <v>126</v>
      </c>
      <c r="E36" s="116">
        <f>D36*(1+B36)^5</f>
        <v>340.54122856319998</v>
      </c>
      <c r="F36" s="116">
        <f>B21</f>
        <v>340.76872367999999</v>
      </c>
      <c r="G36" s="125">
        <f>F36/E36-1</f>
        <v>6.6803986630303847E-4</v>
      </c>
    </row>
    <row r="37" spans="1:7" ht="21.75" customHeight="1" x14ac:dyDescent="0.3">
      <c r="A37" s="115" t="s">
        <v>789</v>
      </c>
      <c r="B37" s="124">
        <v>0.28000000000000003</v>
      </c>
      <c r="C37" s="98" t="s">
        <v>808</v>
      </c>
      <c r="D37" s="116">
        <f>'Management Projections'!B12</f>
        <v>126</v>
      </c>
      <c r="E37" s="116">
        <f>D37*(1+B37)^5</f>
        <v>432.93270343680001</v>
      </c>
      <c r="F37" s="116">
        <f>B22</f>
        <v>408.92246841599996</v>
      </c>
      <c r="G37" s="125">
        <f>F37/E37-1</f>
        <v>-5.5459508672356717E-2</v>
      </c>
    </row>
    <row r="38" spans="1:7" ht="21.75" customHeight="1" x14ac:dyDescent="0.3">
      <c r="A38" s="112" t="s">
        <v>809</v>
      </c>
      <c r="B38" s="20"/>
      <c r="C38" s="20"/>
      <c r="D38" s="20"/>
      <c r="E38" s="20"/>
      <c r="F38" s="20"/>
      <c r="G38" s="20"/>
    </row>
  </sheetData>
  <mergeCells count="7">
    <mergeCell ref="A27:G27"/>
    <mergeCell ref="A33:G33"/>
    <mergeCell ref="A8:G8"/>
    <mergeCell ref="A10:G10"/>
    <mergeCell ref="A13:G13"/>
    <mergeCell ref="A19:G19"/>
    <mergeCell ref="A26:G26"/>
  </mergeCells>
  <pageMargins left="0.75" right="0.75" top="1" bottom="1" header="0.511811023622047" footer="0.511811023622047"/>
  <pageSetup paperSize="9" orientation="portrait" horizontalDpi="300" verticalDpi="300"/>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E43"/>
  <sheetViews>
    <sheetView showGridLines="0" zoomScaleNormal="100" workbookViewId="0">
      <pane ySplit="3" topLeftCell="A4" activePane="bottomLeft" state="frozen"/>
      <selection pane="bottomLeft"/>
    </sheetView>
  </sheetViews>
  <sheetFormatPr defaultColWidth="8.6640625" defaultRowHeight="14.4" x14ac:dyDescent="0.3"/>
  <cols>
    <col min="1" max="1" width="65" customWidth="1"/>
    <col min="2" max="2" width="29" customWidth="1"/>
    <col min="3" max="4" width="24" customWidth="1"/>
    <col min="5" max="5" width="14" customWidth="1"/>
  </cols>
  <sheetData>
    <row r="1" spans="1:5" ht="15.75" customHeight="1" x14ac:dyDescent="0.3"/>
    <row r="3" spans="1:5" ht="15" customHeight="1" x14ac:dyDescent="0.3"/>
    <row r="4" spans="1:5" ht="15" customHeight="1" x14ac:dyDescent="0.3"/>
    <row r="5" spans="1:5" ht="19.5" customHeight="1" x14ac:dyDescent="0.3">
      <c r="A5" s="16" t="s">
        <v>0</v>
      </c>
    </row>
    <row r="6" spans="1:5" ht="24.75" customHeight="1" x14ac:dyDescent="0.3">
      <c r="A6" s="35" t="s">
        <v>810</v>
      </c>
    </row>
    <row r="7" spans="1:5" ht="15" customHeight="1" x14ac:dyDescent="0.3"/>
    <row r="8" spans="1:5" ht="21.75" customHeight="1" x14ac:dyDescent="0.3">
      <c r="A8" s="36" t="s">
        <v>811</v>
      </c>
      <c r="B8" s="20"/>
      <c r="C8" s="20"/>
      <c r="D8" s="20"/>
      <c r="E8" s="20"/>
    </row>
    <row r="9" spans="1:5" ht="21.75" customHeight="1" x14ac:dyDescent="0.3">
      <c r="A9" s="79" t="s">
        <v>536</v>
      </c>
      <c r="B9" s="79" t="s">
        <v>785</v>
      </c>
      <c r="C9" s="80" t="s">
        <v>787</v>
      </c>
      <c r="D9" s="80" t="s">
        <v>789</v>
      </c>
      <c r="E9" s="89"/>
    </row>
    <row r="10" spans="1:5" ht="21.75" customHeight="1" x14ac:dyDescent="0.3">
      <c r="A10" s="98" t="s">
        <v>812</v>
      </c>
      <c r="B10" s="116">
        <f>'Scenario Model'!B20</f>
        <v>279.43035341759997</v>
      </c>
      <c r="C10" s="116">
        <f>'Scenario Model'!B21</f>
        <v>340.76872367999999</v>
      </c>
      <c r="D10" s="116">
        <f>'Scenario Model'!B22</f>
        <v>408.92246841599996</v>
      </c>
      <c r="E10" s="20"/>
    </row>
    <row r="11" spans="1:5" ht="21.75" customHeight="1" x14ac:dyDescent="0.3">
      <c r="A11" s="98" t="s">
        <v>813</v>
      </c>
      <c r="B11" s="126">
        <f>'Scenario Model'!G12</f>
        <v>6.8</v>
      </c>
      <c r="C11" s="126">
        <f>'Scenario Model'!G12</f>
        <v>6.8</v>
      </c>
      <c r="D11" s="126">
        <f>'Scenario Model'!G12</f>
        <v>6.8</v>
      </c>
      <c r="E11" s="20"/>
    </row>
    <row r="12" spans="1:5" ht="21.75" customHeight="1" x14ac:dyDescent="0.3">
      <c r="A12" s="3" t="s">
        <v>814</v>
      </c>
      <c r="B12" s="3"/>
      <c r="C12" s="3"/>
      <c r="D12" s="3"/>
      <c r="E12" s="20"/>
    </row>
    <row r="13" spans="1:5" ht="21.75" customHeight="1" x14ac:dyDescent="0.3">
      <c r="A13" s="98" t="s">
        <v>815</v>
      </c>
      <c r="B13" s="107">
        <f>'Scenario Model'!D20</f>
        <v>4</v>
      </c>
      <c r="C13" s="107">
        <f>'Scenario Model'!D21</f>
        <v>7</v>
      </c>
      <c r="D13" s="107">
        <f>'Scenario Model'!D22</f>
        <v>12</v>
      </c>
      <c r="E13" s="20"/>
    </row>
    <row r="14" spans="1:5" ht="21.75" customHeight="1" x14ac:dyDescent="0.3">
      <c r="A14" s="98" t="s">
        <v>816</v>
      </c>
      <c r="B14" s="116">
        <f>'Scenario Model'!F20</f>
        <v>80</v>
      </c>
      <c r="C14" s="116">
        <f>'Scenario Model'!F21</f>
        <v>130</v>
      </c>
      <c r="D14" s="116">
        <f>'Scenario Model'!F22</f>
        <v>200</v>
      </c>
      <c r="E14" s="20"/>
    </row>
    <row r="15" spans="1:5" ht="21.75" customHeight="1" x14ac:dyDescent="0.3">
      <c r="A15" s="98" t="s">
        <v>817</v>
      </c>
      <c r="B15" s="98">
        <f>'Scenario Model'!C26</f>
        <v>0</v>
      </c>
      <c r="C15" s="98">
        <f>'Scenario Model'!C27</f>
        <v>0</v>
      </c>
      <c r="D15" s="98" t="str">
        <f>'Scenario Model'!C28</f>
        <v>+17% (stock-funded GoHenry-scale acquisition + higher SBC in a strong-currency environment)</v>
      </c>
      <c r="E15" s="20"/>
    </row>
    <row r="16" spans="1:5" ht="15" customHeight="1" x14ac:dyDescent="0.3"/>
    <row r="17" spans="1:5" ht="21.75" customHeight="1" x14ac:dyDescent="0.3">
      <c r="A17" s="36" t="s">
        <v>818</v>
      </c>
      <c r="B17" s="20"/>
      <c r="C17" s="20"/>
      <c r="D17" s="20"/>
      <c r="E17" s="20"/>
    </row>
    <row r="18" spans="1:5" ht="21.75" customHeight="1" x14ac:dyDescent="0.3">
      <c r="A18" s="79" t="s">
        <v>536</v>
      </c>
      <c r="B18" s="79" t="s">
        <v>785</v>
      </c>
      <c r="C18" s="80" t="s">
        <v>787</v>
      </c>
      <c r="D18" s="80" t="s">
        <v>789</v>
      </c>
      <c r="E18" s="89"/>
    </row>
    <row r="19" spans="1:5" ht="21.75" customHeight="1" x14ac:dyDescent="0.3">
      <c r="A19" s="98" t="s">
        <v>819</v>
      </c>
      <c r="B19" s="116">
        <f>'Scenario Model'!E20</f>
        <v>1117.7214136703999</v>
      </c>
      <c r="C19" s="116">
        <f>'Scenario Model'!E21</f>
        <v>2385.3810657599997</v>
      </c>
      <c r="D19" s="116">
        <f>'Scenario Model'!E22</f>
        <v>4907.0696209919997</v>
      </c>
      <c r="E19" s="20"/>
    </row>
    <row r="20" spans="1:5" ht="21.75" customHeight="1" x14ac:dyDescent="0.3">
      <c r="A20" s="98" t="s">
        <v>820</v>
      </c>
      <c r="B20" s="116">
        <f>'Scenario Model'!G20</f>
        <v>1197.7214136703999</v>
      </c>
      <c r="C20" s="116">
        <f>'Scenario Model'!G21</f>
        <v>2515.3810657599997</v>
      </c>
      <c r="D20" s="116">
        <f>'Scenario Model'!G22</f>
        <v>5107.0696209919997</v>
      </c>
      <c r="E20" s="20"/>
    </row>
    <row r="21" spans="1:5" ht="21.75" customHeight="1" x14ac:dyDescent="0.3">
      <c r="A21" s="3" t="s">
        <v>821</v>
      </c>
      <c r="B21" s="3"/>
      <c r="C21" s="3"/>
      <c r="D21" s="3"/>
      <c r="E21" s="3"/>
    </row>
    <row r="22" spans="1:5" ht="21.75" customHeight="1" x14ac:dyDescent="0.3">
      <c r="A22" s="103" t="s">
        <v>822</v>
      </c>
      <c r="B22" s="141">
        <f>'Scenario Model'!F26</f>
        <v>0</v>
      </c>
      <c r="C22" s="141"/>
      <c r="D22" s="141"/>
      <c r="E22" s="141"/>
    </row>
    <row r="23" spans="1:5" ht="21.75" customHeight="1" x14ac:dyDescent="0.3">
      <c r="A23" s="98" t="s">
        <v>823</v>
      </c>
      <c r="B23" s="142">
        <f>B22/10-1</f>
        <v>-1</v>
      </c>
      <c r="C23" s="142"/>
      <c r="D23" s="142"/>
      <c r="E23" s="142"/>
    </row>
    <row r="24" spans="1:5" ht="54.75" customHeight="1" x14ac:dyDescent="0.3">
      <c r="B24" s="12"/>
      <c r="C24" s="12"/>
      <c r="D24" s="12"/>
      <c r="E24" s="12"/>
    </row>
    <row r="25" spans="1:5" ht="54.75" customHeight="1" x14ac:dyDescent="0.3">
      <c r="B25" s="12"/>
      <c r="C25" s="12"/>
      <c r="D25" s="12"/>
      <c r="E25" s="12"/>
    </row>
    <row r="26" spans="1:5" ht="21.75" customHeight="1" x14ac:dyDescent="0.3">
      <c r="A26" s="36" t="s">
        <v>824</v>
      </c>
      <c r="B26" s="11"/>
      <c r="C26" s="11"/>
      <c r="D26" s="11"/>
      <c r="E26" s="11"/>
    </row>
    <row r="27" spans="1:5" ht="21.75" customHeight="1" x14ac:dyDescent="0.3">
      <c r="A27" s="37" t="s">
        <v>825</v>
      </c>
      <c r="B27" s="8" t="s">
        <v>826</v>
      </c>
      <c r="C27" s="8"/>
      <c r="D27" s="8"/>
      <c r="E27" s="8"/>
    </row>
    <row r="28" spans="1:5" ht="21.75" customHeight="1" x14ac:dyDescent="0.3">
      <c r="A28" s="115" t="s">
        <v>827</v>
      </c>
      <c r="B28" s="98" t="s">
        <v>828</v>
      </c>
      <c r="C28" s="20"/>
      <c r="D28" s="20"/>
      <c r="E28" s="20"/>
    </row>
    <row r="29" spans="1:5" ht="21.75" customHeight="1" x14ac:dyDescent="0.3">
      <c r="A29" s="115" t="s">
        <v>829</v>
      </c>
      <c r="B29" s="98" t="s">
        <v>830</v>
      </c>
      <c r="C29" s="20"/>
      <c r="D29" s="20"/>
      <c r="E29" s="20"/>
    </row>
    <row r="30" spans="1:5" ht="21.75" customHeight="1" x14ac:dyDescent="0.3">
      <c r="A30" s="140" t="s">
        <v>708</v>
      </c>
      <c r="B30" s="140"/>
      <c r="C30" s="20"/>
      <c r="D30" s="20"/>
      <c r="E30" s="20"/>
    </row>
    <row r="31" spans="1:5" ht="21.75" customHeight="1" x14ac:dyDescent="0.3">
      <c r="A31" s="115" t="s">
        <v>831</v>
      </c>
      <c r="B31" s="98" t="s">
        <v>832</v>
      </c>
      <c r="C31" s="20"/>
      <c r="D31" s="20"/>
      <c r="E31" s="20"/>
    </row>
    <row r="32" spans="1:5" ht="21.75" customHeight="1" x14ac:dyDescent="0.3">
      <c r="A32" s="115" t="s">
        <v>833</v>
      </c>
      <c r="B32" s="98" t="s">
        <v>834</v>
      </c>
      <c r="C32" s="20"/>
      <c r="D32" s="20"/>
      <c r="E32" s="20"/>
    </row>
    <row r="33" spans="1:5" ht="15" customHeight="1" x14ac:dyDescent="0.3"/>
    <row r="34" spans="1:5" ht="15" customHeight="1" x14ac:dyDescent="0.3"/>
    <row r="35" spans="1:5" ht="21.75" customHeight="1" x14ac:dyDescent="0.3">
      <c r="A35" s="36" t="s">
        <v>835</v>
      </c>
      <c r="B35" s="20"/>
      <c r="C35" s="20"/>
      <c r="D35" s="20"/>
      <c r="E35" s="20"/>
    </row>
    <row r="36" spans="1:5" ht="21.75" customHeight="1" x14ac:dyDescent="0.3">
      <c r="A36" s="79" t="s">
        <v>586</v>
      </c>
      <c r="B36" s="79" t="s">
        <v>836</v>
      </c>
      <c r="C36" s="127"/>
      <c r="D36" s="127"/>
      <c r="E36" s="89"/>
    </row>
    <row r="37" spans="1:5" ht="21.75" customHeight="1" x14ac:dyDescent="0.3">
      <c r="A37" s="98" t="s">
        <v>591</v>
      </c>
      <c r="B37" s="99">
        <f>'2026 Peer Comps'!B10</f>
        <v>85</v>
      </c>
      <c r="C37" s="20"/>
      <c r="D37" s="20"/>
      <c r="E37" s="20"/>
    </row>
    <row r="38" spans="1:5" ht="21.75" customHeight="1" x14ac:dyDescent="0.3">
      <c r="A38" s="98" t="s">
        <v>350</v>
      </c>
      <c r="B38" s="99">
        <f>'2026 Peer Comps'!B11</f>
        <v>21.5</v>
      </c>
      <c r="C38" s="20"/>
      <c r="D38" s="20"/>
      <c r="E38" s="20"/>
    </row>
    <row r="39" spans="1:5" ht="21.75" customHeight="1" x14ac:dyDescent="0.3">
      <c r="A39" s="98" t="s">
        <v>837</v>
      </c>
      <c r="B39" s="128">
        <f>'Scenario Model'!G20/1000</f>
        <v>1.1977214136704</v>
      </c>
      <c r="C39" s="20"/>
      <c r="D39" s="20"/>
      <c r="E39" s="20"/>
    </row>
    <row r="40" spans="1:5" ht="21.75" customHeight="1" x14ac:dyDescent="0.3">
      <c r="A40" s="98" t="s">
        <v>838</v>
      </c>
      <c r="B40" s="128">
        <f>'Scenario Model'!G21/1000</f>
        <v>2.5153810657599998</v>
      </c>
      <c r="C40" s="20"/>
      <c r="D40" s="20"/>
      <c r="E40" s="20"/>
    </row>
    <row r="41" spans="1:5" ht="21.75" customHeight="1" x14ac:dyDescent="0.3">
      <c r="A41" s="98" t="s">
        <v>839</v>
      </c>
      <c r="B41" s="128">
        <f>'Scenario Model'!G22/1000</f>
        <v>5.1070696209920001</v>
      </c>
      <c r="C41" s="20"/>
      <c r="D41" s="20"/>
      <c r="E41" s="20"/>
    </row>
    <row r="42" spans="1:5" ht="21.75" customHeight="1" x14ac:dyDescent="0.3">
      <c r="A42" s="98" t="s">
        <v>840</v>
      </c>
      <c r="B42" s="99">
        <f>'2026 Peer Comps'!B12</f>
        <v>0</v>
      </c>
      <c r="C42" s="20"/>
      <c r="D42" s="20"/>
      <c r="E42" s="20"/>
    </row>
    <row r="43" spans="1:5" ht="21.75" customHeight="1" x14ac:dyDescent="0.3">
      <c r="A43" s="98" t="s">
        <v>759</v>
      </c>
      <c r="B43" s="99">
        <f>'2026 Peer Comps'!B13</f>
        <v>1</v>
      </c>
      <c r="C43" s="20"/>
      <c r="D43" s="20"/>
      <c r="E43" s="20"/>
    </row>
  </sheetData>
  <mergeCells count="9">
    <mergeCell ref="B25:E25"/>
    <mergeCell ref="B26:E26"/>
    <mergeCell ref="B27:E27"/>
    <mergeCell ref="A30:B30"/>
    <mergeCell ref="A12:D12"/>
    <mergeCell ref="A21:E21"/>
    <mergeCell ref="B22:E22"/>
    <mergeCell ref="B23:E23"/>
    <mergeCell ref="B24:E24"/>
  </mergeCells>
  <pageMargins left="0.75" right="0.75" top="1" bottom="1" header="0.511811023622047" footer="0.511811023622047"/>
  <pageSetup paperSize="9" orientation="portrait" horizontalDpi="300" verticalDpi="300"/>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F32"/>
  <sheetViews>
    <sheetView showGridLines="0" zoomScaleNormal="100" workbookViewId="0">
      <selection activeCell="B14" sqref="B14"/>
    </sheetView>
  </sheetViews>
  <sheetFormatPr defaultColWidth="8.6640625" defaultRowHeight="14.4" x14ac:dyDescent="0.3"/>
  <cols>
    <col min="1" max="1" width="70" customWidth="1"/>
    <col min="2" max="2" width="33" customWidth="1"/>
    <col min="3" max="3" width="63" customWidth="1"/>
    <col min="4" max="5" width="70" customWidth="1"/>
    <col min="6" max="6" width="49" customWidth="1"/>
  </cols>
  <sheetData>
    <row r="1" spans="1:6" ht="21" customHeight="1" x14ac:dyDescent="0.3"/>
    <row r="2" spans="1:6" ht="14.25" customHeight="1" x14ac:dyDescent="0.3"/>
    <row r="4" spans="1:6" ht="15" customHeight="1" x14ac:dyDescent="0.3"/>
    <row r="5" spans="1:6" ht="19.5" customHeight="1" x14ac:dyDescent="0.3">
      <c r="A5" s="16" t="s">
        <v>0</v>
      </c>
    </row>
    <row r="6" spans="1:6" ht="24.75" customHeight="1" x14ac:dyDescent="0.3">
      <c r="A6" s="35" t="s">
        <v>841</v>
      </c>
    </row>
    <row r="7" spans="1:6" ht="18" customHeight="1" x14ac:dyDescent="0.3">
      <c r="A7" s="18" t="s">
        <v>842</v>
      </c>
    </row>
    <row r="8" spans="1:6" ht="14.25" customHeight="1" x14ac:dyDescent="0.3"/>
    <row r="9" spans="1:6" ht="21.75" customHeight="1" x14ac:dyDescent="0.3">
      <c r="A9" s="36" t="s">
        <v>843</v>
      </c>
      <c r="B9" s="20"/>
      <c r="C9" s="20"/>
      <c r="D9" s="20"/>
      <c r="E9" s="20"/>
      <c r="F9" s="20"/>
    </row>
    <row r="10" spans="1:6" ht="21.75" customHeight="1" x14ac:dyDescent="0.3">
      <c r="A10" s="79" t="s">
        <v>844</v>
      </c>
      <c r="B10" s="79" t="s">
        <v>845</v>
      </c>
      <c r="C10" s="80" t="s">
        <v>846</v>
      </c>
      <c r="D10" s="80" t="s">
        <v>847</v>
      </c>
      <c r="E10" s="81" t="s">
        <v>848</v>
      </c>
      <c r="F10" s="89"/>
    </row>
    <row r="11" spans="1:6" ht="21.75" customHeight="1" x14ac:dyDescent="0.3">
      <c r="A11" s="24" t="s">
        <v>849</v>
      </c>
      <c r="B11" s="26" t="s">
        <v>850</v>
      </c>
      <c r="C11" s="26" t="s">
        <v>851</v>
      </c>
      <c r="D11" s="27" t="s">
        <v>852</v>
      </c>
      <c r="E11" s="26" t="s">
        <v>853</v>
      </c>
      <c r="F11" s="20"/>
    </row>
    <row r="12" spans="1:6" ht="21.75" customHeight="1" x14ac:dyDescent="0.3">
      <c r="A12" s="24" t="s">
        <v>854</v>
      </c>
      <c r="B12" s="26" t="s">
        <v>855</v>
      </c>
      <c r="C12" s="26" t="s">
        <v>856</v>
      </c>
      <c r="D12" s="27" t="s">
        <v>857</v>
      </c>
      <c r="E12" s="26" t="s">
        <v>858</v>
      </c>
      <c r="F12" s="20"/>
    </row>
    <row r="13" spans="1:6" ht="21.75" customHeight="1" x14ac:dyDescent="0.3">
      <c r="A13" s="24" t="s">
        <v>859</v>
      </c>
      <c r="B13" s="26" t="s">
        <v>860</v>
      </c>
      <c r="C13" s="26" t="s">
        <v>861</v>
      </c>
      <c r="D13" s="27" t="s">
        <v>862</v>
      </c>
      <c r="E13" s="26" t="s">
        <v>863</v>
      </c>
      <c r="F13" s="20"/>
    </row>
    <row r="14" spans="1:6" ht="21.75" customHeight="1" x14ac:dyDescent="0.3">
      <c r="A14" s="24" t="s">
        <v>864</v>
      </c>
      <c r="B14" s="26" t="s">
        <v>865</v>
      </c>
      <c r="C14" s="26" t="s">
        <v>866</v>
      </c>
      <c r="D14" s="27" t="s">
        <v>867</v>
      </c>
      <c r="E14" s="26" t="s">
        <v>868</v>
      </c>
      <c r="F14" s="20"/>
    </row>
    <row r="15" spans="1:6" ht="21.75" customHeight="1" x14ac:dyDescent="0.3">
      <c r="A15" s="24" t="s">
        <v>869</v>
      </c>
      <c r="B15" s="26" t="s">
        <v>870</v>
      </c>
      <c r="C15" s="26" t="s">
        <v>871</v>
      </c>
      <c r="D15" s="27" t="s">
        <v>872</v>
      </c>
      <c r="E15" s="26" t="s">
        <v>873</v>
      </c>
      <c r="F15" s="20"/>
    </row>
    <row r="16" spans="1:6" ht="21.75" customHeight="1" x14ac:dyDescent="0.3">
      <c r="A16" s="24" t="s">
        <v>874</v>
      </c>
      <c r="B16" s="26" t="s">
        <v>875</v>
      </c>
      <c r="C16" s="26" t="s">
        <v>876</v>
      </c>
      <c r="D16" s="27" t="s">
        <v>877</v>
      </c>
      <c r="E16" s="26" t="s">
        <v>878</v>
      </c>
      <c r="F16" s="20"/>
    </row>
    <row r="17" spans="1:6" ht="21.75" customHeight="1" x14ac:dyDescent="0.3">
      <c r="A17" s="24" t="s">
        <v>97</v>
      </c>
      <c r="B17" s="26" t="s">
        <v>879</v>
      </c>
      <c r="C17" s="26" t="s">
        <v>880</v>
      </c>
      <c r="D17" s="27" t="s">
        <v>881</v>
      </c>
      <c r="E17" s="26" t="s">
        <v>882</v>
      </c>
      <c r="F17" s="20"/>
    </row>
    <row r="18" spans="1:6" ht="21.75" customHeight="1" x14ac:dyDescent="0.3">
      <c r="A18" s="24" t="s">
        <v>883</v>
      </c>
      <c r="B18" s="26" t="s">
        <v>884</v>
      </c>
      <c r="C18" s="26" t="s">
        <v>885</v>
      </c>
      <c r="D18" s="27" t="s">
        <v>886</v>
      </c>
      <c r="E18" s="26" t="s">
        <v>887</v>
      </c>
      <c r="F18" s="20"/>
    </row>
    <row r="19" spans="1:6" ht="21.75" customHeight="1" x14ac:dyDescent="0.3">
      <c r="A19" s="24" t="s">
        <v>888</v>
      </c>
      <c r="B19" s="26" t="s">
        <v>889</v>
      </c>
      <c r="C19" s="26" t="s">
        <v>890</v>
      </c>
      <c r="D19" s="27" t="s">
        <v>891</v>
      </c>
      <c r="E19" s="26" t="s">
        <v>892</v>
      </c>
      <c r="F19" s="20"/>
    </row>
    <row r="20" spans="1:6" ht="21.75" customHeight="1" x14ac:dyDescent="0.3">
      <c r="A20" s="24" t="s">
        <v>893</v>
      </c>
      <c r="B20" s="26" t="s">
        <v>894</v>
      </c>
      <c r="C20" s="26" t="s">
        <v>895</v>
      </c>
      <c r="D20" s="27" t="s">
        <v>896</v>
      </c>
      <c r="E20" s="26" t="s">
        <v>897</v>
      </c>
      <c r="F20" s="20"/>
    </row>
    <row r="23" spans="1:6" ht="21.75" customHeight="1" x14ac:dyDescent="0.3">
      <c r="A23" s="36" t="s">
        <v>898</v>
      </c>
      <c r="B23" s="20"/>
      <c r="C23" s="20"/>
      <c r="D23" s="20"/>
      <c r="E23" s="20"/>
      <c r="F23" s="20"/>
    </row>
    <row r="24" spans="1:6" ht="21.75" customHeight="1" x14ac:dyDescent="0.3">
      <c r="A24" s="37" t="s">
        <v>899</v>
      </c>
      <c r="B24" s="37" t="s">
        <v>900</v>
      </c>
      <c r="C24" s="37" t="s">
        <v>901</v>
      </c>
      <c r="D24" s="37" t="s">
        <v>902</v>
      </c>
      <c r="E24" s="37" t="s">
        <v>903</v>
      </c>
      <c r="F24" s="37" t="s">
        <v>904</v>
      </c>
    </row>
    <row r="25" spans="1:6" ht="21.75" customHeight="1" x14ac:dyDescent="0.3">
      <c r="A25" s="24" t="s">
        <v>905</v>
      </c>
      <c r="B25" s="25" t="s">
        <v>906</v>
      </c>
      <c r="C25" s="27" t="s">
        <v>907</v>
      </c>
      <c r="D25" s="25" t="s">
        <v>908</v>
      </c>
      <c r="E25" s="27" t="s">
        <v>909</v>
      </c>
      <c r="F25" s="26" t="s">
        <v>910</v>
      </c>
    </row>
    <row r="26" spans="1:6" ht="14.25" customHeight="1" x14ac:dyDescent="0.3"/>
    <row r="27" spans="1:6" ht="14.25" customHeight="1" x14ac:dyDescent="0.3"/>
    <row r="28" spans="1:6" ht="21.75" customHeight="1" x14ac:dyDescent="0.3">
      <c r="A28" s="36" t="s">
        <v>911</v>
      </c>
      <c r="B28" s="20"/>
      <c r="C28" s="20"/>
      <c r="D28" s="20"/>
      <c r="E28" s="20"/>
      <c r="F28" s="20"/>
    </row>
    <row r="29" spans="1:6" ht="21.75" customHeight="1" x14ac:dyDescent="0.3">
      <c r="A29" s="37" t="s">
        <v>912</v>
      </c>
      <c r="B29" s="37" t="s">
        <v>913</v>
      </c>
      <c r="C29" s="37" t="s">
        <v>914</v>
      </c>
      <c r="D29" s="37" t="s">
        <v>915</v>
      </c>
      <c r="E29" s="20"/>
      <c r="F29" s="20"/>
    </row>
    <row r="30" spans="1:6" ht="21.75" customHeight="1" x14ac:dyDescent="0.3">
      <c r="A30" s="24" t="s">
        <v>916</v>
      </c>
      <c r="B30" s="24" t="s">
        <v>917</v>
      </c>
      <c r="C30" s="26" t="s">
        <v>918</v>
      </c>
      <c r="D30" s="27" t="s">
        <v>919</v>
      </c>
      <c r="E30" s="20"/>
      <c r="F30" s="20"/>
    </row>
    <row r="31" spans="1:6" ht="21.75" customHeight="1" x14ac:dyDescent="0.3">
      <c r="A31" s="24" t="s">
        <v>920</v>
      </c>
      <c r="B31" s="24" t="s">
        <v>917</v>
      </c>
      <c r="C31" s="26" t="s">
        <v>921</v>
      </c>
      <c r="D31" s="27" t="s">
        <v>922</v>
      </c>
      <c r="E31" s="20"/>
      <c r="F31" s="20"/>
    </row>
    <row r="32" spans="1:6" ht="21.75" customHeight="1" x14ac:dyDescent="0.3">
      <c r="A32" s="24" t="s">
        <v>923</v>
      </c>
      <c r="B32" s="24" t="s">
        <v>917</v>
      </c>
      <c r="C32" s="26" t="s">
        <v>924</v>
      </c>
      <c r="D32" s="27" t="s">
        <v>925</v>
      </c>
      <c r="E32" s="20"/>
      <c r="F32" s="20"/>
    </row>
  </sheetData>
  <pageMargins left="0.75" right="0.75" top="1" bottom="1" header="0.511811023622047" footer="0.511811023622047"/>
  <pageSetup paperSize="9" orientation="portrait" horizontalDpi="300" verticalDpi="300"/>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O101"/>
  <sheetViews>
    <sheetView showGridLines="0" zoomScaleNormal="100" workbookViewId="0">
      <pane ySplit="24" topLeftCell="A25" activePane="bottomLeft" state="frozen"/>
      <selection pane="bottomLeft"/>
    </sheetView>
  </sheetViews>
  <sheetFormatPr defaultColWidth="8.6640625" defaultRowHeight="14.4" x14ac:dyDescent="0.3"/>
  <cols>
    <col min="1" max="1" width="70" customWidth="1"/>
    <col min="2" max="2" width="23" customWidth="1"/>
    <col min="3" max="3" width="70" customWidth="1"/>
    <col min="4" max="5" width="30" customWidth="1"/>
    <col min="6" max="6" width="23" customWidth="1"/>
    <col min="7" max="7" width="70" customWidth="1"/>
    <col min="8" max="8" width="41" customWidth="1"/>
    <col min="9" max="9" width="35" customWidth="1"/>
    <col min="10" max="15" width="14" customWidth="1"/>
  </cols>
  <sheetData>
    <row r="1" spans="1:15" ht="15.75" customHeight="1" x14ac:dyDescent="0.3"/>
    <row r="2" spans="1:15" ht="67.5" customHeight="1" x14ac:dyDescent="0.3"/>
    <row r="4" spans="1:15" ht="15" customHeight="1" x14ac:dyDescent="0.3"/>
    <row r="5" spans="1:15" ht="19.5" customHeight="1" x14ac:dyDescent="0.3">
      <c r="A5" s="16" t="s">
        <v>0</v>
      </c>
    </row>
    <row r="6" spans="1:15" ht="24.75" customHeight="1" x14ac:dyDescent="0.3">
      <c r="A6" s="35" t="s">
        <v>926</v>
      </c>
    </row>
    <row r="7" spans="1:15" ht="18" customHeight="1" x14ac:dyDescent="0.3">
      <c r="A7" s="97" t="s">
        <v>927</v>
      </c>
    </row>
    <row r="8" spans="1:15" ht="30" customHeight="1" x14ac:dyDescent="0.3"/>
    <row r="9" spans="1:15" ht="21.75" customHeight="1" x14ac:dyDescent="0.3">
      <c r="A9" s="36" t="s">
        <v>928</v>
      </c>
      <c r="B9" s="20"/>
      <c r="C9" s="20"/>
      <c r="D9" s="20"/>
      <c r="E9" s="20"/>
      <c r="F9" s="20"/>
      <c r="G9" s="20"/>
      <c r="H9" s="20"/>
      <c r="I9" s="20"/>
      <c r="J9" s="20"/>
      <c r="K9" s="20"/>
      <c r="L9" s="20"/>
      <c r="M9" s="20"/>
      <c r="N9" s="20"/>
      <c r="O9" s="20"/>
    </row>
    <row r="10" spans="1:15" ht="21.75" customHeight="1" x14ac:dyDescent="0.3">
      <c r="A10" s="37" t="s">
        <v>929</v>
      </c>
      <c r="B10" s="37" t="s">
        <v>930</v>
      </c>
      <c r="C10" s="37" t="s">
        <v>931</v>
      </c>
      <c r="D10" s="20"/>
      <c r="E10" s="37" t="s">
        <v>932</v>
      </c>
      <c r="F10" s="37" t="s">
        <v>930</v>
      </c>
      <c r="G10" s="37" t="s">
        <v>931</v>
      </c>
      <c r="H10" s="20"/>
      <c r="I10" s="20"/>
      <c r="J10" s="20"/>
      <c r="K10" s="20"/>
      <c r="L10" s="20"/>
      <c r="M10" s="20"/>
      <c r="N10" s="20"/>
      <c r="O10" s="20"/>
    </row>
    <row r="11" spans="1:15" ht="21.75" customHeight="1" x14ac:dyDescent="0.3">
      <c r="A11" s="129">
        <v>44561</v>
      </c>
      <c r="B11" s="130">
        <v>18.440000000000001</v>
      </c>
      <c r="C11" s="131" t="s">
        <v>933</v>
      </c>
      <c r="D11" s="20"/>
      <c r="E11" s="129">
        <v>44561</v>
      </c>
      <c r="F11" s="130">
        <v>14.5</v>
      </c>
      <c r="G11" s="132" t="s">
        <v>934</v>
      </c>
      <c r="H11" s="20"/>
      <c r="I11" s="20"/>
      <c r="J11" s="20"/>
      <c r="K11" s="20"/>
      <c r="L11" s="20"/>
      <c r="M11" s="20"/>
      <c r="N11" s="20"/>
      <c r="O11" s="20"/>
    </row>
    <row r="12" spans="1:15" ht="21.75" customHeight="1" x14ac:dyDescent="0.3">
      <c r="A12" s="129">
        <v>44728</v>
      </c>
      <c r="B12" s="130">
        <v>6.81</v>
      </c>
      <c r="C12" s="131" t="s">
        <v>935</v>
      </c>
      <c r="D12" s="20"/>
      <c r="E12" s="129">
        <v>44902</v>
      </c>
      <c r="F12" s="130">
        <v>4.24</v>
      </c>
      <c r="G12" s="131" t="s">
        <v>935</v>
      </c>
      <c r="H12" s="20"/>
      <c r="I12" s="20"/>
      <c r="J12" s="20"/>
      <c r="K12" s="20"/>
      <c r="L12" s="20"/>
      <c r="M12" s="20"/>
      <c r="N12" s="20"/>
      <c r="O12" s="20"/>
    </row>
    <row r="13" spans="1:15" ht="21.75" customHeight="1" x14ac:dyDescent="0.3">
      <c r="A13" s="129">
        <v>44926</v>
      </c>
      <c r="B13" s="130">
        <v>8.14</v>
      </c>
      <c r="C13" s="131" t="s">
        <v>936</v>
      </c>
      <c r="D13" s="20"/>
      <c r="E13" s="129">
        <v>44926</v>
      </c>
      <c r="F13" s="130">
        <v>4.5</v>
      </c>
      <c r="G13" s="132" t="s">
        <v>937</v>
      </c>
      <c r="H13" s="20"/>
      <c r="I13" s="20"/>
      <c r="J13" s="20"/>
      <c r="K13" s="20"/>
      <c r="L13" s="20"/>
      <c r="M13" s="20"/>
      <c r="N13" s="20"/>
      <c r="O13" s="20"/>
    </row>
    <row r="14" spans="1:15" ht="21.75" customHeight="1" x14ac:dyDescent="0.3">
      <c r="A14" s="129">
        <v>45291</v>
      </c>
      <c r="B14" s="130">
        <v>12.74</v>
      </c>
      <c r="C14" s="131" t="s">
        <v>936</v>
      </c>
      <c r="D14" s="20"/>
      <c r="E14" s="129">
        <v>45291</v>
      </c>
      <c r="F14" s="130">
        <v>8</v>
      </c>
      <c r="G14" s="132" t="s">
        <v>938</v>
      </c>
      <c r="H14" s="20"/>
      <c r="I14" s="20"/>
      <c r="J14" s="20"/>
      <c r="K14" s="20"/>
      <c r="L14" s="20"/>
      <c r="M14" s="20"/>
      <c r="N14" s="20"/>
      <c r="O14" s="20"/>
    </row>
    <row r="15" spans="1:15" ht="21.75" customHeight="1" x14ac:dyDescent="0.3">
      <c r="A15" s="129">
        <v>45657</v>
      </c>
      <c r="B15" s="130">
        <v>37.26</v>
      </c>
      <c r="C15" s="131" t="s">
        <v>936</v>
      </c>
      <c r="D15" s="20"/>
      <c r="E15" s="129">
        <v>45657</v>
      </c>
      <c r="F15" s="130">
        <v>15.5</v>
      </c>
      <c r="G15" s="132" t="s">
        <v>939</v>
      </c>
      <c r="H15" s="20"/>
      <c r="I15" s="20"/>
      <c r="J15" s="20"/>
      <c r="K15" s="20"/>
      <c r="L15" s="20"/>
      <c r="M15" s="20"/>
      <c r="N15" s="20"/>
      <c r="O15" s="20"/>
    </row>
    <row r="16" spans="1:15" ht="21.75" customHeight="1" x14ac:dyDescent="0.3">
      <c r="A16" s="143">
        <v>45936</v>
      </c>
      <c r="B16" s="143"/>
      <c r="C16" s="143"/>
      <c r="D16" s="143"/>
      <c r="E16" s="143"/>
      <c r="F16" s="143"/>
      <c r="G16" s="143"/>
      <c r="H16" s="20"/>
      <c r="I16" s="20"/>
      <c r="J16" s="20"/>
      <c r="K16" s="20"/>
      <c r="L16" s="20"/>
      <c r="M16" s="20"/>
      <c r="N16" s="20"/>
      <c r="O16" s="20"/>
    </row>
    <row r="17" spans="1:15" ht="21.75" customHeight="1" x14ac:dyDescent="0.3">
      <c r="A17" s="129">
        <v>46022</v>
      </c>
      <c r="B17" s="130">
        <v>113.1</v>
      </c>
      <c r="C17" s="144" t="s">
        <v>936</v>
      </c>
      <c r="D17" s="144"/>
      <c r="E17" s="144"/>
      <c r="F17" s="144"/>
      <c r="G17" s="144"/>
      <c r="H17" s="20"/>
      <c r="I17" s="20"/>
      <c r="J17" s="20"/>
      <c r="K17" s="20"/>
      <c r="L17" s="20"/>
      <c r="M17" s="20"/>
      <c r="N17" s="20"/>
      <c r="O17" s="20"/>
    </row>
    <row r="18" spans="1:15" ht="21.75" customHeight="1" x14ac:dyDescent="0.3">
      <c r="A18" s="129">
        <v>46231</v>
      </c>
      <c r="B18" s="130">
        <v>100</v>
      </c>
      <c r="C18" s="132" t="s">
        <v>940</v>
      </c>
      <c r="D18" s="20"/>
      <c r="E18" s="129">
        <v>46231</v>
      </c>
      <c r="F18" s="130">
        <v>16.739999999999998</v>
      </c>
      <c r="G18" s="131" t="s">
        <v>941</v>
      </c>
      <c r="H18" s="20"/>
      <c r="I18" s="20"/>
      <c r="J18" s="20"/>
      <c r="K18" s="20"/>
      <c r="L18" s="20"/>
      <c r="M18" s="20"/>
      <c r="N18" s="20"/>
      <c r="O18" s="20"/>
    </row>
    <row r="19" spans="1:15" ht="15" customHeight="1" x14ac:dyDescent="0.3">
      <c r="C19" s="12"/>
      <c r="D19" s="12"/>
      <c r="E19" s="12"/>
      <c r="F19" s="12"/>
      <c r="G19" s="12"/>
    </row>
    <row r="20" spans="1:15" ht="15" customHeight="1" x14ac:dyDescent="0.3">
      <c r="C20" s="12"/>
      <c r="D20" s="12"/>
      <c r="E20" s="12"/>
      <c r="F20" s="12"/>
      <c r="G20" s="12"/>
    </row>
    <row r="21" spans="1:15" ht="21.75" customHeight="1" x14ac:dyDescent="0.3">
      <c r="A21" s="36" t="s">
        <v>942</v>
      </c>
      <c r="B21" s="20"/>
      <c r="C21" s="11"/>
      <c r="D21" s="11"/>
      <c r="E21" s="11"/>
      <c r="F21" s="11"/>
      <c r="G21" s="11"/>
      <c r="H21" s="20"/>
      <c r="I21" s="20"/>
      <c r="J21" s="20"/>
      <c r="K21" s="20"/>
      <c r="L21" s="20"/>
      <c r="M21" s="20"/>
      <c r="N21" s="20"/>
      <c r="O21" s="20"/>
    </row>
    <row r="22" spans="1:15" ht="21.75" customHeight="1" x14ac:dyDescent="0.3">
      <c r="A22" s="98" t="s">
        <v>943</v>
      </c>
      <c r="B22" s="124">
        <v>0.5</v>
      </c>
      <c r="C22" s="98" t="s">
        <v>944</v>
      </c>
      <c r="D22" s="20"/>
      <c r="E22" s="20"/>
      <c r="F22" s="20"/>
      <c r="G22" s="20"/>
      <c r="H22" s="20"/>
      <c r="I22" s="20"/>
      <c r="J22" s="20"/>
      <c r="K22" s="20"/>
      <c r="L22" s="20"/>
      <c r="M22" s="20"/>
      <c r="N22" s="20"/>
      <c r="O22" s="20"/>
    </row>
    <row r="23" spans="1:15" ht="21.75" customHeight="1" x14ac:dyDescent="0.3">
      <c r="A23" s="3" t="s">
        <v>945</v>
      </c>
      <c r="B23" s="3"/>
      <c r="C23" s="3"/>
      <c r="D23" s="3"/>
      <c r="E23" s="3"/>
      <c r="F23" s="3"/>
      <c r="G23" s="3"/>
      <c r="H23" s="3"/>
      <c r="I23" s="3"/>
      <c r="J23" s="3"/>
      <c r="K23" s="3"/>
      <c r="L23" s="3"/>
      <c r="M23" s="3"/>
      <c r="N23" s="3"/>
      <c r="O23" s="3"/>
    </row>
    <row r="24" spans="1:15" ht="21.75" customHeight="1" x14ac:dyDescent="0.3">
      <c r="A24" s="98" t="s">
        <v>946</v>
      </c>
      <c r="B24" s="133">
        <v>44576</v>
      </c>
      <c r="C24" s="98" t="s">
        <v>947</v>
      </c>
      <c r="D24" s="20"/>
      <c r="E24" s="20"/>
      <c r="F24" s="20"/>
      <c r="G24" s="20"/>
      <c r="H24" s="20"/>
      <c r="I24" s="20"/>
      <c r="J24" s="20"/>
      <c r="K24" s="20"/>
      <c r="L24" s="20"/>
      <c r="M24" s="20"/>
      <c r="N24" s="20"/>
      <c r="O24" s="20"/>
    </row>
    <row r="25" spans="1:15" ht="21.75" customHeight="1" x14ac:dyDescent="0.3">
      <c r="A25" s="98" t="s">
        <v>948</v>
      </c>
      <c r="B25" s="134">
        <v>10</v>
      </c>
      <c r="C25" s="98" t="s">
        <v>949</v>
      </c>
      <c r="D25" s="20"/>
      <c r="E25" s="20"/>
      <c r="F25" s="20"/>
      <c r="G25" s="20"/>
      <c r="H25" s="20"/>
      <c r="I25" s="20"/>
      <c r="J25" s="20"/>
      <c r="K25" s="20"/>
      <c r="L25" s="20"/>
      <c r="M25" s="20"/>
      <c r="N25" s="20"/>
      <c r="O25" s="20"/>
    </row>
    <row r="26" spans="1:15" ht="21.75" customHeight="1" x14ac:dyDescent="0.3">
      <c r="A26" s="98" t="s">
        <v>950</v>
      </c>
      <c r="B26" s="135">
        <f>'Output Tables'!C22</f>
        <v>0</v>
      </c>
      <c r="C26" s="98" t="s">
        <v>951</v>
      </c>
      <c r="D26" s="20"/>
      <c r="E26" s="20"/>
      <c r="F26" s="20"/>
      <c r="G26" s="20"/>
      <c r="H26" s="20"/>
      <c r="I26" s="20"/>
      <c r="J26" s="20"/>
      <c r="K26" s="20"/>
      <c r="L26" s="20"/>
      <c r="M26" s="20"/>
      <c r="N26" s="20"/>
      <c r="O26" s="20"/>
    </row>
    <row r="27" spans="1:15" ht="15" customHeight="1" x14ac:dyDescent="0.3"/>
    <row r="28" spans="1:15" ht="21.75" customHeight="1" x14ac:dyDescent="0.3">
      <c r="A28" s="36" t="s">
        <v>952</v>
      </c>
      <c r="B28" s="20"/>
      <c r="C28" s="20"/>
      <c r="D28" s="20"/>
      <c r="E28" s="20"/>
      <c r="F28" s="20"/>
      <c r="G28" s="20"/>
      <c r="H28" s="20"/>
      <c r="I28" s="20"/>
      <c r="J28" s="20"/>
      <c r="K28" s="20"/>
      <c r="L28" s="20"/>
      <c r="M28" s="20"/>
      <c r="N28" s="20"/>
      <c r="O28" s="20"/>
    </row>
    <row r="29" spans="1:15" ht="21.75" customHeight="1" x14ac:dyDescent="0.3">
      <c r="A29" s="37" t="s">
        <v>953</v>
      </c>
      <c r="B29" s="37" t="s">
        <v>954</v>
      </c>
      <c r="C29" s="37" t="s">
        <v>955</v>
      </c>
      <c r="D29" s="37" t="s">
        <v>956</v>
      </c>
      <c r="E29" s="37" t="s">
        <v>957</v>
      </c>
      <c r="F29" s="37" t="s">
        <v>958</v>
      </c>
      <c r="G29" s="37" t="s">
        <v>959</v>
      </c>
      <c r="H29" s="37" t="s">
        <v>960</v>
      </c>
      <c r="I29" s="37" t="s">
        <v>961</v>
      </c>
      <c r="J29" s="20"/>
      <c r="K29" s="20"/>
      <c r="L29" s="20"/>
      <c r="M29" s="20"/>
      <c r="N29" s="20"/>
      <c r="O29" s="20"/>
    </row>
    <row r="30" spans="1:15" ht="21.75" customHeight="1" x14ac:dyDescent="0.3">
      <c r="A30" s="129">
        <v>44592</v>
      </c>
      <c r="B30" s="136">
        <f t="shared" ref="B30:B61" si="0">IF(A30&lt;=$A$11,$B$11,IF(A30&lt;=$A$12,$B$11*($B$12/$B$11)^((A30-$A$11)/($A$12-$A$11)),IF(A30&lt;=$A$13,$B$12*($B$13/$B$12)^((A30-$A$12)/($A$13-$A$12)),IF(A30&lt;=$A$14,$B$13*($B$14/$B$13)^((A30-$A$13)/($A$14-$A$13)),IF(A30&lt;=$A$15,$B$14*($B$15/$B$14)^((A30-$A$14)/($A$15-$A$14)),IF(A30&lt;=$A$16,$B$15*($B$16/$B$15)^((A30-$A$15)/($A$16-$A$15)),IF(A30&lt;=$A$17,$B$16*($B$17/$B$16)^((A30-$A$16)/($A$17-$A$16)),IF(A30&lt;=$A$18,$B$17*($B$18/$B$17)^((A30-$A$17)/($A$18-$A$17)),$B$18))))))))</f>
        <v>15.326936571560239</v>
      </c>
      <c r="C30" s="136">
        <f t="shared" ref="C30:C61" si="1">IF(A30&lt;=$E$11,$F$11,IF(A30&lt;=$E$12,$F$11*($F$12/$F$11)^((A30-$E$11)/($E$12-$E$11)),IF(A30&lt;=$E$13,$F$12*($F$13/$F$12)^((A30-$E$12)/($E$13-$E$12)),IF(A30&lt;=$E$14,$F$13*($F$14/$F$13)^((A30-$E$13)/($E$14-$E$13)),IF(A30&lt;=$E$15,$F$14*($F$15/$F$14)^((A30-$E$14)/($E$15-$E$14)),IF(A30&lt;=$E$16,$F$15*($F$16/$F$15)^((A30-$E$15)/($E$16-$E$15)),IF(A30&lt;=$E$17,$F$16*($F$17/$F$16)^((A30-$E$16)/($E$17-$E$16)),IF(A30&lt;=$E$18,$F$17*($F$18/$F$17)^((A30-$E$17)/($E$18-$E$17)),$F$18))))))))</f>
        <v>12.966487706671614</v>
      </c>
      <c r="D30" s="137">
        <f t="shared" ref="D30:D61" si="2">B30/$B$30*100</f>
        <v>100</v>
      </c>
      <c r="E30" s="137">
        <f t="shared" ref="E30:E61" si="3">C30/$C$30*100</f>
        <v>100</v>
      </c>
      <c r="F30" s="137">
        <f t="shared" ref="F30:F61" si="4">D30*$B$22+E30*$B$23</f>
        <v>50</v>
      </c>
      <c r="G30" s="136">
        <f t="shared" ref="G30:G61" si="5">$B$25*F30/100</f>
        <v>5</v>
      </c>
      <c r="H30" s="137" t="e">
        <f>1+((25-25)/(79-25))*(($B$26/$G$84)-1)</f>
        <v>#DIV/0!</v>
      </c>
      <c r="I30" s="138" t="e">
        <f t="shared" ref="I30:I61" si="6">G30*H30</f>
        <v>#DIV/0!</v>
      </c>
      <c r="J30" s="20"/>
      <c r="K30" s="20"/>
      <c r="L30" s="20"/>
      <c r="M30" s="20"/>
      <c r="N30" s="20"/>
      <c r="O30" s="20"/>
    </row>
    <row r="31" spans="1:15" ht="21.75" customHeight="1" x14ac:dyDescent="0.3">
      <c r="A31" s="129">
        <v>44620</v>
      </c>
      <c r="B31" s="136">
        <f t="shared" si="0"/>
        <v>12.969442529271245</v>
      </c>
      <c r="C31" s="136">
        <f t="shared" si="1"/>
        <v>11.721269974757373</v>
      </c>
      <c r="D31" s="137">
        <f t="shared" si="2"/>
        <v>84.618622049604994</v>
      </c>
      <c r="E31" s="137">
        <f t="shared" si="3"/>
        <v>90.396645876018198</v>
      </c>
      <c r="F31" s="137">
        <f t="shared" si="4"/>
        <v>42.309311024802497</v>
      </c>
      <c r="G31" s="136">
        <f t="shared" si="5"/>
        <v>4.2309311024802501</v>
      </c>
      <c r="H31" s="137" t="e">
        <f>1+((26-25)/(79-25))*(($B$26/$G$84)-1)</f>
        <v>#DIV/0!</v>
      </c>
      <c r="I31" s="138" t="e">
        <f t="shared" si="6"/>
        <v>#DIV/0!</v>
      </c>
      <c r="J31" s="20"/>
      <c r="K31" s="20"/>
      <c r="L31" s="20"/>
      <c r="M31" s="20"/>
      <c r="N31" s="20"/>
      <c r="O31" s="20"/>
    </row>
    <row r="32" spans="1:15" ht="21.75" customHeight="1" x14ac:dyDescent="0.3">
      <c r="A32" s="129">
        <v>44651</v>
      </c>
      <c r="B32" s="136">
        <f t="shared" si="0"/>
        <v>10.779925326173323</v>
      </c>
      <c r="C32" s="136">
        <f t="shared" si="1"/>
        <v>10.481634692018662</v>
      </c>
      <c r="D32" s="137">
        <f t="shared" si="2"/>
        <v>70.333202436394998</v>
      </c>
      <c r="E32" s="137">
        <f t="shared" si="3"/>
        <v>80.83634465349914</v>
      </c>
      <c r="F32" s="137">
        <f t="shared" si="4"/>
        <v>35.166601218197499</v>
      </c>
      <c r="G32" s="136">
        <f t="shared" si="5"/>
        <v>3.5166601218197502</v>
      </c>
      <c r="H32" s="137" t="e">
        <f>1+((27-25)/(79-25))*(($B$26/$G$84)-1)</f>
        <v>#DIV/0!</v>
      </c>
      <c r="I32" s="138" t="e">
        <f t="shared" si="6"/>
        <v>#DIV/0!</v>
      </c>
      <c r="J32" s="20"/>
      <c r="K32" s="20"/>
      <c r="L32" s="20"/>
      <c r="M32" s="20"/>
      <c r="N32" s="20"/>
      <c r="O32" s="20"/>
    </row>
    <row r="33" spans="1:15" ht="21.75" customHeight="1" x14ac:dyDescent="0.3">
      <c r="A33" s="129">
        <v>44681</v>
      </c>
      <c r="B33" s="136">
        <f t="shared" si="0"/>
        <v>9.0136501512422118</v>
      </c>
      <c r="C33" s="136">
        <f t="shared" si="1"/>
        <v>9.4069613271852468</v>
      </c>
      <c r="D33" s="137">
        <f t="shared" si="2"/>
        <v>58.809208931988479</v>
      </c>
      <c r="E33" s="137">
        <f t="shared" si="3"/>
        <v>72.548260870560242</v>
      </c>
      <c r="F33" s="137">
        <f t="shared" si="4"/>
        <v>29.40460446599424</v>
      </c>
      <c r="G33" s="136">
        <f t="shared" si="5"/>
        <v>2.9404604465994235</v>
      </c>
      <c r="H33" s="137" t="e">
        <f>1+((28-25)/(79-25))*(($B$26/$G$84)-1)</f>
        <v>#DIV/0!</v>
      </c>
      <c r="I33" s="138" t="e">
        <f t="shared" si="6"/>
        <v>#DIV/0!</v>
      </c>
      <c r="J33" s="20"/>
      <c r="K33" s="20"/>
      <c r="L33" s="20"/>
      <c r="M33" s="20"/>
      <c r="N33" s="20"/>
      <c r="O33" s="20"/>
    </row>
    <row r="34" spans="1:15" ht="21.75" customHeight="1" x14ac:dyDescent="0.3">
      <c r="A34" s="129">
        <v>44712</v>
      </c>
      <c r="B34" s="136">
        <f t="shared" si="0"/>
        <v>7.4919546717095278</v>
      </c>
      <c r="C34" s="136">
        <f t="shared" si="1"/>
        <v>8.4120860969712297</v>
      </c>
      <c r="D34" s="137">
        <f t="shared" si="2"/>
        <v>48.880966113027164</v>
      </c>
      <c r="E34" s="137">
        <f t="shared" si="3"/>
        <v>64.87559535989827</v>
      </c>
      <c r="F34" s="137">
        <f t="shared" si="4"/>
        <v>24.440483056513582</v>
      </c>
      <c r="G34" s="136">
        <f t="shared" si="5"/>
        <v>2.4440483056513584</v>
      </c>
      <c r="H34" s="137" t="e">
        <f>1+((29-25)/(79-25))*(($B$26/$G$84)-1)</f>
        <v>#DIV/0!</v>
      </c>
      <c r="I34" s="138" t="e">
        <f t="shared" si="6"/>
        <v>#DIV/0!</v>
      </c>
      <c r="J34" s="20"/>
      <c r="K34" s="20"/>
      <c r="L34" s="20"/>
      <c r="M34" s="20"/>
      <c r="N34" s="20"/>
      <c r="O34" s="20"/>
    </row>
    <row r="35" spans="1:15" ht="21.75" customHeight="1" x14ac:dyDescent="0.3">
      <c r="A35" s="129">
        <v>44742</v>
      </c>
      <c r="B35" s="136">
        <f t="shared" si="0"/>
        <v>6.8964454341424659</v>
      </c>
      <c r="C35" s="136">
        <f t="shared" si="1"/>
        <v>7.5496018436338899</v>
      </c>
      <c r="D35" s="137">
        <f t="shared" si="2"/>
        <v>44.995589313908326</v>
      </c>
      <c r="E35" s="137">
        <f t="shared" si="3"/>
        <v>58.223954045392048</v>
      </c>
      <c r="F35" s="137">
        <f t="shared" si="4"/>
        <v>22.497794656954163</v>
      </c>
      <c r="G35" s="136">
        <f t="shared" si="5"/>
        <v>2.2497794656954166</v>
      </c>
      <c r="H35" s="137" t="e">
        <f>1+((30-25)/(79-25))*(($B$26/$G$84)-1)</f>
        <v>#DIV/0!</v>
      </c>
      <c r="I35" s="138" t="e">
        <f t="shared" si="6"/>
        <v>#DIV/0!</v>
      </c>
      <c r="J35" s="20"/>
      <c r="K35" s="20"/>
      <c r="L35" s="20"/>
      <c r="M35" s="20"/>
      <c r="N35" s="20"/>
      <c r="O35" s="20"/>
    </row>
    <row r="36" spans="1:15" ht="21.75" customHeight="1" x14ac:dyDescent="0.3">
      <c r="A36" s="129">
        <v>44773</v>
      </c>
      <c r="B36" s="136">
        <f t="shared" si="0"/>
        <v>7.0917854387034991</v>
      </c>
      <c r="C36" s="136">
        <f t="shared" si="1"/>
        <v>6.7511599652237377</v>
      </c>
      <c r="D36" s="137">
        <f t="shared" si="2"/>
        <v>46.270077556545765</v>
      </c>
      <c r="E36" s="137">
        <f t="shared" si="3"/>
        <v>52.066219611268203</v>
      </c>
      <c r="F36" s="137">
        <f t="shared" si="4"/>
        <v>23.135038778272882</v>
      </c>
      <c r="G36" s="136">
        <f t="shared" si="5"/>
        <v>2.3135038778272885</v>
      </c>
      <c r="H36" s="137" t="e">
        <f>1+((31-25)/(79-25))*(($B$26/$G$84)-1)</f>
        <v>#DIV/0!</v>
      </c>
      <c r="I36" s="138" t="e">
        <f t="shared" si="6"/>
        <v>#DIV/0!</v>
      </c>
      <c r="J36" s="20"/>
      <c r="K36" s="20"/>
      <c r="L36" s="20"/>
      <c r="M36" s="20"/>
      <c r="N36" s="20"/>
      <c r="O36" s="20"/>
    </row>
    <row r="37" spans="1:15" ht="21.75" customHeight="1" x14ac:dyDescent="0.3">
      <c r="A37" s="129">
        <v>44804</v>
      </c>
      <c r="B37" s="136">
        <f t="shared" si="0"/>
        <v>7.2926583975590731</v>
      </c>
      <c r="C37" s="136">
        <f t="shared" si="1"/>
        <v>6.037160875506701</v>
      </c>
      <c r="D37" s="137">
        <f t="shared" si="2"/>
        <v>47.580665343724988</v>
      </c>
      <c r="E37" s="137">
        <f t="shared" si="3"/>
        <v>46.559723898094745</v>
      </c>
      <c r="F37" s="137">
        <f t="shared" si="4"/>
        <v>23.790332671862494</v>
      </c>
      <c r="G37" s="136">
        <f t="shared" si="5"/>
        <v>2.3790332671862497</v>
      </c>
      <c r="H37" s="137" t="e">
        <f>1+((32-25)/(79-25))*(($B$26/$G$84)-1)</f>
        <v>#DIV/0!</v>
      </c>
      <c r="I37" s="138" t="e">
        <f t="shared" si="6"/>
        <v>#DIV/0!</v>
      </c>
      <c r="J37" s="20"/>
      <c r="K37" s="20"/>
      <c r="L37" s="20"/>
      <c r="M37" s="20"/>
      <c r="N37" s="20"/>
      <c r="O37" s="20"/>
    </row>
    <row r="38" spans="1:15" ht="21.75" customHeight="1" x14ac:dyDescent="0.3">
      <c r="A38" s="129">
        <v>44834</v>
      </c>
      <c r="B38" s="136">
        <f t="shared" si="0"/>
        <v>7.4924672727960369</v>
      </c>
      <c r="C38" s="136">
        <f t="shared" si="1"/>
        <v>5.4181757474463081</v>
      </c>
      <c r="D38" s="137">
        <f t="shared" si="2"/>
        <v>48.884310558827636</v>
      </c>
      <c r="E38" s="137">
        <f t="shared" si="3"/>
        <v>41.785993786571112</v>
      </c>
      <c r="F38" s="137">
        <f t="shared" si="4"/>
        <v>24.442155279413818</v>
      </c>
      <c r="G38" s="136">
        <f t="shared" si="5"/>
        <v>2.4442155279413815</v>
      </c>
      <c r="H38" s="137" t="e">
        <f>1+((33-25)/(79-25))*(($B$26/$G$84)-1)</f>
        <v>#DIV/0!</v>
      </c>
      <c r="I38" s="138" t="e">
        <f t="shared" si="6"/>
        <v>#DIV/0!</v>
      </c>
      <c r="J38" s="20"/>
      <c r="K38" s="20"/>
      <c r="L38" s="20"/>
      <c r="M38" s="20"/>
      <c r="N38" s="20"/>
      <c r="O38" s="20"/>
    </row>
    <row r="39" spans="1:15" ht="21.75" customHeight="1" x14ac:dyDescent="0.3">
      <c r="A39" s="129">
        <v>44865</v>
      </c>
      <c r="B39" s="136">
        <f t="shared" si="0"/>
        <v>7.7046894393045378</v>
      </c>
      <c r="C39" s="136">
        <f t="shared" si="1"/>
        <v>4.8451523601275062</v>
      </c>
      <c r="D39" s="137">
        <f t="shared" si="2"/>
        <v>50.268945808785467</v>
      </c>
      <c r="E39" s="137">
        <f t="shared" si="3"/>
        <v>37.366729292733162</v>
      </c>
      <c r="F39" s="137">
        <f t="shared" si="4"/>
        <v>25.134472904392734</v>
      </c>
      <c r="G39" s="136">
        <f t="shared" si="5"/>
        <v>2.5134472904392733</v>
      </c>
      <c r="H39" s="137" t="e">
        <f>1+((34-25)/(79-25))*(($B$26/$G$84)-1)</f>
        <v>#DIV/0!</v>
      </c>
      <c r="I39" s="138" t="e">
        <f t="shared" si="6"/>
        <v>#DIV/0!</v>
      </c>
      <c r="J39" s="20"/>
      <c r="K39" s="20"/>
      <c r="L39" s="20"/>
      <c r="M39" s="20"/>
      <c r="N39" s="20"/>
      <c r="O39" s="20"/>
    </row>
    <row r="40" spans="1:15" ht="21.75" customHeight="1" x14ac:dyDescent="0.3">
      <c r="A40" s="129">
        <v>44895</v>
      </c>
      <c r="B40" s="136">
        <f t="shared" si="0"/>
        <v>7.9157874020766341</v>
      </c>
      <c r="C40" s="136">
        <f t="shared" si="1"/>
        <v>4.3483828825617898</v>
      </c>
      <c r="D40" s="137">
        <f t="shared" si="2"/>
        <v>51.64624623530252</v>
      </c>
      <c r="E40" s="137">
        <f t="shared" si="3"/>
        <v>33.535549340199715</v>
      </c>
      <c r="F40" s="137">
        <f t="shared" si="4"/>
        <v>25.82312311765126</v>
      </c>
      <c r="G40" s="136">
        <f t="shared" si="5"/>
        <v>2.5823123117651261</v>
      </c>
      <c r="H40" s="137" t="e">
        <f>1+((35-25)/(79-25))*(($B$26/$G$84)-1)</f>
        <v>#DIV/0!</v>
      </c>
      <c r="I40" s="138" t="e">
        <f t="shared" si="6"/>
        <v>#DIV/0!</v>
      </c>
      <c r="J40" s="20"/>
      <c r="K40" s="20"/>
      <c r="L40" s="20"/>
      <c r="M40" s="20"/>
      <c r="N40" s="20"/>
      <c r="O40" s="20"/>
    </row>
    <row r="41" spans="1:15" ht="21.75" customHeight="1" x14ac:dyDescent="0.3">
      <c r="A41" s="129">
        <v>44926</v>
      </c>
      <c r="B41" s="136">
        <f t="shared" si="0"/>
        <v>8.14</v>
      </c>
      <c r="C41" s="136">
        <f t="shared" si="1"/>
        <v>4.5</v>
      </c>
      <c r="D41" s="137">
        <f t="shared" si="2"/>
        <v>53.109112587469731</v>
      </c>
      <c r="E41" s="137">
        <f t="shared" si="3"/>
        <v>34.704849160383091</v>
      </c>
      <c r="F41" s="137">
        <f t="shared" si="4"/>
        <v>26.554556293734866</v>
      </c>
      <c r="G41" s="136">
        <f t="shared" si="5"/>
        <v>2.6554556293734866</v>
      </c>
      <c r="H41" s="137" t="e">
        <f>1+((36-25)/(79-25))*(($B$26/$G$84)-1)</f>
        <v>#DIV/0!</v>
      </c>
      <c r="I41" s="138" t="e">
        <f t="shared" si="6"/>
        <v>#DIV/0!</v>
      </c>
      <c r="J41" s="20"/>
      <c r="K41" s="20"/>
      <c r="L41" s="20"/>
      <c r="M41" s="20"/>
      <c r="N41" s="20"/>
      <c r="O41" s="20"/>
    </row>
    <row r="42" spans="1:15" ht="21.75" customHeight="1" x14ac:dyDescent="0.3">
      <c r="A42" s="129">
        <v>44957</v>
      </c>
      <c r="B42" s="136">
        <f t="shared" si="0"/>
        <v>8.45565795713072</v>
      </c>
      <c r="C42" s="136">
        <f t="shared" si="1"/>
        <v>4.7253609076021164</v>
      </c>
      <c r="D42" s="137">
        <f t="shared" si="2"/>
        <v>55.16861061994959</v>
      </c>
      <c r="E42" s="137">
        <f t="shared" si="3"/>
        <v>36.442875005933864</v>
      </c>
      <c r="F42" s="137">
        <f t="shared" si="4"/>
        <v>27.584305309974795</v>
      </c>
      <c r="G42" s="136">
        <f t="shared" si="5"/>
        <v>2.7584305309974799</v>
      </c>
      <c r="H42" s="137" t="e">
        <f>1+((37-25)/(79-25))*(($B$26/$G$84)-1)</f>
        <v>#DIV/0!</v>
      </c>
      <c r="I42" s="138" t="e">
        <f t="shared" si="6"/>
        <v>#DIV/0!</v>
      </c>
      <c r="J42" s="20"/>
      <c r="K42" s="20"/>
      <c r="L42" s="20"/>
      <c r="M42" s="20"/>
      <c r="N42" s="20"/>
      <c r="O42" s="20"/>
    </row>
    <row r="43" spans="1:15" ht="21.75" customHeight="1" x14ac:dyDescent="0.3">
      <c r="A43" s="129">
        <v>44985</v>
      </c>
      <c r="B43" s="136">
        <f t="shared" si="0"/>
        <v>8.7512765576872784</v>
      </c>
      <c r="C43" s="136">
        <f t="shared" si="1"/>
        <v>4.9385978952192149</v>
      </c>
      <c r="D43" s="137">
        <f t="shared" si="2"/>
        <v>57.097362651879379</v>
      </c>
      <c r="E43" s="137">
        <f t="shared" si="3"/>
        <v>38.087398892748503</v>
      </c>
      <c r="F43" s="137">
        <f t="shared" si="4"/>
        <v>28.54868132593969</v>
      </c>
      <c r="G43" s="136">
        <f t="shared" si="5"/>
        <v>2.8548681325939693</v>
      </c>
      <c r="H43" s="137" t="e">
        <f>1+((38-25)/(79-25))*(($B$26/$G$84)-1)</f>
        <v>#DIV/0!</v>
      </c>
      <c r="I43" s="138" t="e">
        <f t="shared" si="6"/>
        <v>#DIV/0!</v>
      </c>
      <c r="J43" s="20"/>
      <c r="K43" s="20"/>
      <c r="L43" s="20"/>
      <c r="M43" s="20"/>
      <c r="N43" s="20"/>
      <c r="O43" s="20"/>
    </row>
    <row r="44" spans="1:15" ht="21.75" customHeight="1" x14ac:dyDescent="0.3">
      <c r="A44" s="129">
        <v>45016</v>
      </c>
      <c r="B44" s="136">
        <f t="shared" si="0"/>
        <v>9.0906389754373418</v>
      </c>
      <c r="C44" s="136">
        <f t="shared" si="1"/>
        <v>5.1859238738744375</v>
      </c>
      <c r="D44" s="137">
        <f t="shared" si="2"/>
        <v>59.311519513334432</v>
      </c>
      <c r="E44" s="137">
        <f t="shared" si="3"/>
        <v>39.994823511120423</v>
      </c>
      <c r="F44" s="137">
        <f t="shared" si="4"/>
        <v>29.655759756667216</v>
      </c>
      <c r="G44" s="136">
        <f t="shared" si="5"/>
        <v>2.9655759756667215</v>
      </c>
      <c r="H44" s="137" t="e">
        <f>1+((39-25)/(79-25))*(($B$26/$G$84)-1)</f>
        <v>#DIV/0!</v>
      </c>
      <c r="I44" s="138" t="e">
        <f t="shared" si="6"/>
        <v>#DIV/0!</v>
      </c>
      <c r="J44" s="20"/>
      <c r="K44" s="20"/>
      <c r="L44" s="20"/>
      <c r="M44" s="20"/>
      <c r="N44" s="20"/>
      <c r="O44" s="20"/>
    </row>
    <row r="45" spans="1:15" ht="21.75" customHeight="1" x14ac:dyDescent="0.3">
      <c r="A45" s="129">
        <v>45046</v>
      </c>
      <c r="B45" s="136">
        <f t="shared" si="0"/>
        <v>9.4315791235753785</v>
      </c>
      <c r="C45" s="136">
        <f t="shared" si="1"/>
        <v>5.4370585751570601</v>
      </c>
      <c r="D45" s="137">
        <f t="shared" si="2"/>
        <v>61.535970215183525</v>
      </c>
      <c r="E45" s="137">
        <f t="shared" si="3"/>
        <v>41.931621717109593</v>
      </c>
      <c r="F45" s="137">
        <f t="shared" si="4"/>
        <v>30.767985107591763</v>
      </c>
      <c r="G45" s="136">
        <f t="shared" si="5"/>
        <v>3.076798510759176</v>
      </c>
      <c r="H45" s="137" t="e">
        <f>1+((40-25)/(79-25))*(($B$26/$G$84)-1)</f>
        <v>#DIV/0!</v>
      </c>
      <c r="I45" s="138" t="e">
        <f t="shared" si="6"/>
        <v>#DIV/0!</v>
      </c>
      <c r="J45" s="20"/>
      <c r="K45" s="20"/>
      <c r="L45" s="20"/>
      <c r="M45" s="20"/>
      <c r="N45" s="20"/>
      <c r="O45" s="20"/>
    </row>
    <row r="46" spans="1:15" ht="21.75" customHeight="1" x14ac:dyDescent="0.3">
      <c r="A46" s="129">
        <v>45077</v>
      </c>
      <c r="B46" s="136">
        <f t="shared" si="0"/>
        <v>9.7973227352049292</v>
      </c>
      <c r="C46" s="136">
        <f t="shared" si="1"/>
        <v>5.7093475651977865</v>
      </c>
      <c r="D46" s="137">
        <f t="shared" si="2"/>
        <v>63.922250147392553</v>
      </c>
      <c r="E46" s="137">
        <f t="shared" si="3"/>
        <v>44.031565789864366</v>
      </c>
      <c r="F46" s="137">
        <f t="shared" si="4"/>
        <v>31.961125073696277</v>
      </c>
      <c r="G46" s="136">
        <f t="shared" si="5"/>
        <v>3.1961125073696275</v>
      </c>
      <c r="H46" s="137" t="e">
        <f>1+((41-25)/(79-25))*(($B$26/$G$84)-1)</f>
        <v>#DIV/0!</v>
      </c>
      <c r="I46" s="138" t="e">
        <f t="shared" si="6"/>
        <v>#DIV/0!</v>
      </c>
      <c r="J46" s="20"/>
      <c r="K46" s="20"/>
      <c r="L46" s="20"/>
      <c r="M46" s="20"/>
      <c r="N46" s="20"/>
      <c r="O46" s="20"/>
    </row>
    <row r="47" spans="1:15" ht="21.75" customHeight="1" x14ac:dyDescent="0.3">
      <c r="A47" s="129">
        <v>45107</v>
      </c>
      <c r="B47" s="136">
        <f t="shared" si="0"/>
        <v>10.164766726075355</v>
      </c>
      <c r="C47" s="136">
        <f t="shared" si="1"/>
        <v>5.9858296984060777</v>
      </c>
      <c r="D47" s="137">
        <f t="shared" si="2"/>
        <v>66.319624137653818</v>
      </c>
      <c r="E47" s="137">
        <f t="shared" si="3"/>
        <v>46.163848173983183</v>
      </c>
      <c r="F47" s="137">
        <f t="shared" si="4"/>
        <v>33.159812068826909</v>
      </c>
      <c r="G47" s="136">
        <f t="shared" si="5"/>
        <v>3.3159812068826908</v>
      </c>
      <c r="H47" s="137" t="e">
        <f>1+((42-25)/(79-25))*(($B$26/$G$84)-1)</f>
        <v>#DIV/0!</v>
      </c>
      <c r="I47" s="138" t="e">
        <f t="shared" si="6"/>
        <v>#DIV/0!</v>
      </c>
      <c r="J47" s="20"/>
      <c r="K47" s="20"/>
      <c r="L47" s="20"/>
      <c r="M47" s="20"/>
      <c r="N47" s="20"/>
      <c r="O47" s="20"/>
    </row>
    <row r="48" spans="1:15" ht="21.75" customHeight="1" x14ac:dyDescent="0.3">
      <c r="A48" s="129">
        <v>45138</v>
      </c>
      <c r="B48" s="136">
        <f t="shared" si="0"/>
        <v>10.558942340260028</v>
      </c>
      <c r="C48" s="136">
        <f t="shared" si="1"/>
        <v>6.2856012569804101</v>
      </c>
      <c r="D48" s="137">
        <f t="shared" si="2"/>
        <v>68.891407561851466</v>
      </c>
      <c r="E48" s="137">
        <f t="shared" si="3"/>
        <v>48.475743001293218</v>
      </c>
      <c r="F48" s="137">
        <f t="shared" si="4"/>
        <v>34.445703780925733</v>
      </c>
      <c r="G48" s="136">
        <f t="shared" si="5"/>
        <v>3.4445703780925729</v>
      </c>
      <c r="H48" s="137" t="e">
        <f>1+((43-25)/(79-25))*(($B$26/$G$84)-1)</f>
        <v>#DIV/0!</v>
      </c>
      <c r="I48" s="138" t="e">
        <f t="shared" si="6"/>
        <v>#DIV/0!</v>
      </c>
      <c r="J48" s="20"/>
      <c r="K48" s="20"/>
      <c r="L48" s="20"/>
      <c r="M48" s="20"/>
      <c r="N48" s="20"/>
      <c r="O48" s="20"/>
    </row>
    <row r="49" spans="1:15" ht="21.75" customHeight="1" x14ac:dyDescent="0.3">
      <c r="A49" s="129">
        <v>45169</v>
      </c>
      <c r="B49" s="136">
        <f t="shared" si="0"/>
        <v>10.968403540332208</v>
      </c>
      <c r="C49" s="136">
        <f t="shared" si="1"/>
        <v>6.6003854356688789</v>
      </c>
      <c r="D49" s="137">
        <f t="shared" si="2"/>
        <v>71.562921195123437</v>
      </c>
      <c r="E49" s="137">
        <f t="shared" si="3"/>
        <v>50.903417987839525</v>
      </c>
      <c r="F49" s="137">
        <f t="shared" si="4"/>
        <v>35.781460597561718</v>
      </c>
      <c r="G49" s="136">
        <f t="shared" si="5"/>
        <v>3.5781460597561714</v>
      </c>
      <c r="H49" s="137" t="e">
        <f>1+((44-25)/(79-25))*(($B$26/$G$84)-1)</f>
        <v>#DIV/0!</v>
      </c>
      <c r="I49" s="138" t="e">
        <f t="shared" si="6"/>
        <v>#DIV/0!</v>
      </c>
      <c r="J49" s="20"/>
      <c r="K49" s="20"/>
      <c r="L49" s="20"/>
      <c r="M49" s="20"/>
      <c r="N49" s="20"/>
      <c r="O49" s="20"/>
    </row>
    <row r="50" spans="1:15" ht="21.75" customHeight="1" x14ac:dyDescent="0.3">
      <c r="A50" s="129">
        <v>45199</v>
      </c>
      <c r="B50" s="136">
        <f t="shared" si="0"/>
        <v>11.379768367159325</v>
      </c>
      <c r="C50" s="136">
        <f t="shared" si="1"/>
        <v>6.9200171666874235</v>
      </c>
      <c r="D50" s="137">
        <f t="shared" si="2"/>
        <v>74.246854966927657</v>
      </c>
      <c r="E50" s="137">
        <f t="shared" si="3"/>
        <v>53.368478212699685</v>
      </c>
      <c r="F50" s="137">
        <f t="shared" si="4"/>
        <v>37.123427483463828</v>
      </c>
      <c r="G50" s="136">
        <f t="shared" si="5"/>
        <v>3.7123427483463831</v>
      </c>
      <c r="H50" s="137" t="e">
        <f>1+((45-25)/(79-25))*(($B$26/$G$84)-1)</f>
        <v>#DIV/0!</v>
      </c>
      <c r="I50" s="138" t="e">
        <f t="shared" si="6"/>
        <v>#DIV/0!</v>
      </c>
      <c r="J50" s="20"/>
      <c r="K50" s="20"/>
      <c r="L50" s="20"/>
      <c r="M50" s="20"/>
      <c r="N50" s="20"/>
      <c r="O50" s="20"/>
    </row>
    <row r="51" spans="1:15" ht="21.75" customHeight="1" x14ac:dyDescent="0.3">
      <c r="A51" s="129">
        <v>45230</v>
      </c>
      <c r="B51" s="136">
        <f t="shared" si="0"/>
        <v>11.821060066839706</v>
      </c>
      <c r="C51" s="136">
        <f t="shared" si="1"/>
        <v>7.2665730220889566</v>
      </c>
      <c r="D51" s="137">
        <f t="shared" si="2"/>
        <v>77.126045453689485</v>
      </c>
      <c r="E51" s="137">
        <f t="shared" si="3"/>
        <v>56.041182365445849</v>
      </c>
      <c r="F51" s="137">
        <f t="shared" si="4"/>
        <v>38.563022726844743</v>
      </c>
      <c r="G51" s="136">
        <f t="shared" si="5"/>
        <v>3.856302272684474</v>
      </c>
      <c r="H51" s="137" t="e">
        <f>1+((46-25)/(79-25))*(($B$26/$G$84)-1)</f>
        <v>#DIV/0!</v>
      </c>
      <c r="I51" s="138" t="e">
        <f t="shared" si="6"/>
        <v>#DIV/0!</v>
      </c>
      <c r="J51" s="20"/>
      <c r="K51" s="20"/>
      <c r="L51" s="20"/>
      <c r="M51" s="20"/>
      <c r="N51" s="20"/>
      <c r="O51" s="20"/>
    </row>
    <row r="52" spans="1:15" ht="21.75" customHeight="1" x14ac:dyDescent="0.3">
      <c r="A52" s="129">
        <v>45260</v>
      </c>
      <c r="B52" s="136">
        <f t="shared" si="0"/>
        <v>12.264403376504367</v>
      </c>
      <c r="C52" s="136">
        <f t="shared" si="1"/>
        <v>7.6184657011242329</v>
      </c>
      <c r="D52" s="137">
        <f t="shared" si="2"/>
        <v>80.018621589792915</v>
      </c>
      <c r="E52" s="137">
        <f t="shared" si="3"/>
        <v>58.755045109126371</v>
      </c>
      <c r="F52" s="137">
        <f t="shared" si="4"/>
        <v>40.009310794896457</v>
      </c>
      <c r="G52" s="136">
        <f t="shared" si="5"/>
        <v>4.0009310794896455</v>
      </c>
      <c r="H52" s="137" t="e">
        <f>1+((47-25)/(79-25))*(($B$26/$G$84)-1)</f>
        <v>#DIV/0!</v>
      </c>
      <c r="I52" s="138" t="e">
        <f t="shared" si="6"/>
        <v>#DIV/0!</v>
      </c>
      <c r="J52" s="20"/>
      <c r="K52" s="20"/>
      <c r="L52" s="20"/>
      <c r="M52" s="20"/>
      <c r="N52" s="20"/>
      <c r="O52" s="20"/>
    </row>
    <row r="53" spans="1:15" ht="21.75" customHeight="1" x14ac:dyDescent="0.3">
      <c r="A53" s="129">
        <v>45291</v>
      </c>
      <c r="B53" s="136">
        <f t="shared" si="0"/>
        <v>12.74</v>
      </c>
      <c r="C53" s="136">
        <f t="shared" si="1"/>
        <v>8</v>
      </c>
      <c r="D53" s="137">
        <f t="shared" si="2"/>
        <v>83.121633214295372</v>
      </c>
      <c r="E53" s="137">
        <f t="shared" si="3"/>
        <v>61.697509618458824</v>
      </c>
      <c r="F53" s="137">
        <f t="shared" si="4"/>
        <v>41.560816607147686</v>
      </c>
      <c r="G53" s="136">
        <f t="shared" si="5"/>
        <v>4.1560816607147686</v>
      </c>
      <c r="H53" s="137" t="e">
        <f>1+((48-25)/(79-25))*(($B$26/$G$84)-1)</f>
        <v>#DIV/0!</v>
      </c>
      <c r="I53" s="138" t="e">
        <f t="shared" si="6"/>
        <v>#DIV/0!</v>
      </c>
      <c r="J53" s="20"/>
      <c r="K53" s="20"/>
      <c r="L53" s="20"/>
      <c r="M53" s="20"/>
      <c r="N53" s="20"/>
      <c r="O53" s="20"/>
    </row>
    <row r="54" spans="1:15" ht="21.75" customHeight="1" x14ac:dyDescent="0.3">
      <c r="A54" s="129">
        <v>45322</v>
      </c>
      <c r="B54" s="136">
        <f t="shared" si="0"/>
        <v>13.952293137482775</v>
      </c>
      <c r="C54" s="136">
        <f t="shared" si="1"/>
        <v>8.460951448922124</v>
      </c>
      <c r="D54" s="137">
        <f t="shared" si="2"/>
        <v>91.031192517439052</v>
      </c>
      <c r="E54" s="137">
        <f t="shared" si="3"/>
        <v>65.25245417514823</v>
      </c>
      <c r="F54" s="137">
        <f t="shared" si="4"/>
        <v>45.515596258719526</v>
      </c>
      <c r="G54" s="136">
        <f t="shared" si="5"/>
        <v>4.5515596258719526</v>
      </c>
      <c r="H54" s="137" t="e">
        <f>1+((49-25)/(79-25))*(($B$26/$G$84)-1)</f>
        <v>#DIV/0!</v>
      </c>
      <c r="I54" s="138" t="e">
        <f t="shared" si="6"/>
        <v>#DIV/0!</v>
      </c>
      <c r="J54" s="20"/>
      <c r="K54" s="20"/>
      <c r="L54" s="20"/>
      <c r="M54" s="20"/>
      <c r="N54" s="20"/>
      <c r="O54" s="20"/>
    </row>
    <row r="55" spans="1:15" ht="21.75" customHeight="1" x14ac:dyDescent="0.3">
      <c r="A55" s="129">
        <v>45351</v>
      </c>
      <c r="B55" s="136">
        <f t="shared" si="0"/>
        <v>15.190599268778154</v>
      </c>
      <c r="C55" s="136">
        <f t="shared" si="1"/>
        <v>8.9161792744963098</v>
      </c>
      <c r="D55" s="137">
        <f t="shared" si="2"/>
        <v>99.110472584358021</v>
      </c>
      <c r="E55" s="137">
        <f t="shared" si="3"/>
        <v>68.763257068517419</v>
      </c>
      <c r="F55" s="137">
        <f t="shared" si="4"/>
        <v>49.555236292179011</v>
      </c>
      <c r="G55" s="136">
        <f t="shared" si="5"/>
        <v>4.9555236292179012</v>
      </c>
      <c r="H55" s="137" t="e">
        <f>1+((50-25)/(79-25))*(($B$26/$G$84)-1)</f>
        <v>#DIV/0!</v>
      </c>
      <c r="I55" s="138" t="e">
        <f t="shared" si="6"/>
        <v>#DIV/0!</v>
      </c>
      <c r="J55" s="20"/>
      <c r="K55" s="20"/>
      <c r="L55" s="20"/>
      <c r="M55" s="20"/>
      <c r="N55" s="20"/>
      <c r="O55" s="20"/>
    </row>
    <row r="56" spans="1:15" ht="21.75" customHeight="1" x14ac:dyDescent="0.3">
      <c r="A56" s="129">
        <v>45382</v>
      </c>
      <c r="B56" s="136">
        <f t="shared" si="0"/>
        <v>16.636082726218543</v>
      </c>
      <c r="C56" s="136">
        <f t="shared" si="1"/>
        <v>9.4299199939248695</v>
      </c>
      <c r="D56" s="137">
        <f t="shared" si="2"/>
        <v>108.54147303700256</v>
      </c>
      <c r="E56" s="137">
        <f t="shared" si="3"/>
        <v>72.725322440809606</v>
      </c>
      <c r="F56" s="137">
        <f t="shared" si="4"/>
        <v>54.27073651850128</v>
      </c>
      <c r="G56" s="136">
        <f t="shared" si="5"/>
        <v>5.4270736518501277</v>
      </c>
      <c r="H56" s="137" t="e">
        <f>1+((51-25)/(79-25))*(($B$26/$G$84)-1)</f>
        <v>#DIV/0!</v>
      </c>
      <c r="I56" s="138" t="e">
        <f t="shared" si="6"/>
        <v>#DIV/0!</v>
      </c>
      <c r="J56" s="20"/>
      <c r="K56" s="20"/>
      <c r="L56" s="20"/>
      <c r="M56" s="20"/>
      <c r="N56" s="20"/>
      <c r="O56" s="20"/>
    </row>
    <row r="57" spans="1:15" ht="21.75" customHeight="1" x14ac:dyDescent="0.3">
      <c r="A57" s="129">
        <v>45412</v>
      </c>
      <c r="B57" s="136">
        <f t="shared" si="0"/>
        <v>18.165769985747243</v>
      </c>
      <c r="C57" s="136">
        <f t="shared" si="1"/>
        <v>9.9552555006818579</v>
      </c>
      <c r="D57" s="137">
        <f t="shared" si="2"/>
        <v>118.52185791291507</v>
      </c>
      <c r="E57" s="137">
        <f t="shared" si="3"/>
        <v>76.776809000941753</v>
      </c>
      <c r="F57" s="137">
        <f t="shared" si="4"/>
        <v>59.260928956457533</v>
      </c>
      <c r="G57" s="136">
        <f t="shared" si="5"/>
        <v>5.9260928956457528</v>
      </c>
      <c r="H57" s="137" t="e">
        <f>1+((52-25)/(79-25))*(($B$26/$G$84)-1)</f>
        <v>#DIV/0!</v>
      </c>
      <c r="I57" s="138" t="e">
        <f t="shared" si="6"/>
        <v>#DIV/0!</v>
      </c>
      <c r="J57" s="20"/>
      <c r="K57" s="20"/>
      <c r="L57" s="20"/>
      <c r="M57" s="20"/>
      <c r="N57" s="20"/>
      <c r="O57" s="20"/>
    </row>
    <row r="58" spans="1:15" ht="21.75" customHeight="1" x14ac:dyDescent="0.3">
      <c r="A58" s="129">
        <v>45443</v>
      </c>
      <c r="B58" s="136">
        <f t="shared" si="0"/>
        <v>19.894360118464039</v>
      </c>
      <c r="C58" s="136">
        <f t="shared" si="1"/>
        <v>10.528866681610513</v>
      </c>
      <c r="D58" s="137">
        <f t="shared" si="2"/>
        <v>129.7999768288912</v>
      </c>
      <c r="E58" s="137">
        <f t="shared" si="3"/>
        <v>81.20060667001691</v>
      </c>
      <c r="F58" s="137">
        <f t="shared" si="4"/>
        <v>64.899988414445602</v>
      </c>
      <c r="G58" s="136">
        <f t="shared" si="5"/>
        <v>6.4899988414445602</v>
      </c>
      <c r="H58" s="137" t="e">
        <f>1+((53-25)/(79-25))*(($B$26/$G$84)-1)</f>
        <v>#DIV/0!</v>
      </c>
      <c r="I58" s="138" t="e">
        <f t="shared" si="6"/>
        <v>#DIV/0!</v>
      </c>
      <c r="J58" s="20"/>
      <c r="K58" s="20"/>
      <c r="L58" s="20"/>
      <c r="M58" s="20"/>
      <c r="N58" s="20"/>
      <c r="O58" s="20"/>
    </row>
    <row r="59" spans="1:15" ht="21.75" customHeight="1" x14ac:dyDescent="0.3">
      <c r="A59" s="129">
        <v>45473</v>
      </c>
      <c r="B59" s="136">
        <f t="shared" si="0"/>
        <v>21.723645877047645</v>
      </c>
      <c r="C59" s="136">
        <f t="shared" si="1"/>
        <v>11.115423886478002</v>
      </c>
      <c r="D59" s="137">
        <f t="shared" si="2"/>
        <v>141.73508042929311</v>
      </c>
      <c r="E59" s="137">
        <f t="shared" si="3"/>
        <v>85.724246518652933</v>
      </c>
      <c r="F59" s="137">
        <f t="shared" si="4"/>
        <v>70.867540214646553</v>
      </c>
      <c r="G59" s="136">
        <f t="shared" si="5"/>
        <v>7.0867540214646558</v>
      </c>
      <c r="H59" s="137" t="e">
        <f>1+((54-25)/(79-25))*(($B$26/$G$84)-1)</f>
        <v>#DIV/0!</v>
      </c>
      <c r="I59" s="138" t="e">
        <f t="shared" si="6"/>
        <v>#DIV/0!</v>
      </c>
      <c r="J59" s="20"/>
      <c r="K59" s="20"/>
      <c r="L59" s="20"/>
      <c r="M59" s="20"/>
      <c r="N59" s="20"/>
      <c r="O59" s="20"/>
    </row>
    <row r="60" spans="1:15" ht="21.75" customHeight="1" x14ac:dyDescent="0.3">
      <c r="A60" s="129">
        <v>45504</v>
      </c>
      <c r="B60" s="136">
        <f t="shared" si="0"/>
        <v>23.790790839202341</v>
      </c>
      <c r="C60" s="136">
        <f t="shared" si="1"/>
        <v>11.755882729709954</v>
      </c>
      <c r="D60" s="137">
        <f t="shared" si="2"/>
        <v>155.22208712827279</v>
      </c>
      <c r="E60" s="137">
        <f t="shared" si="3"/>
        <v>90.663585973719236</v>
      </c>
      <c r="F60" s="137">
        <f t="shared" si="4"/>
        <v>77.611043564136395</v>
      </c>
      <c r="G60" s="136">
        <f t="shared" si="5"/>
        <v>7.7611043564136386</v>
      </c>
      <c r="H60" s="137" t="e">
        <f>1+((55-25)/(79-25))*(($B$26/$G$84)-1)</f>
        <v>#DIV/0!</v>
      </c>
      <c r="I60" s="138" t="e">
        <f t="shared" si="6"/>
        <v>#DIV/0!</v>
      </c>
      <c r="J60" s="20"/>
      <c r="K60" s="20"/>
      <c r="L60" s="20"/>
      <c r="M60" s="20"/>
      <c r="N60" s="20"/>
      <c r="O60" s="20"/>
    </row>
    <row r="61" spans="1:15" ht="21.75" customHeight="1" x14ac:dyDescent="0.3">
      <c r="A61" s="129">
        <v>45535</v>
      </c>
      <c r="B61" s="136">
        <f t="shared" si="0"/>
        <v>26.054637971828164</v>
      </c>
      <c r="C61" s="136">
        <f t="shared" si="1"/>
        <v>12.433244126912252</v>
      </c>
      <c r="D61" s="137">
        <f t="shared" si="2"/>
        <v>169.9924694682538</v>
      </c>
      <c r="E61" s="137">
        <f t="shared" si="3"/>
        <v>95.887524888601916</v>
      </c>
      <c r="F61" s="137">
        <f t="shared" si="4"/>
        <v>84.996234734126901</v>
      </c>
      <c r="G61" s="136">
        <f t="shared" si="5"/>
        <v>8.4996234734126901</v>
      </c>
      <c r="H61" s="137" t="e">
        <f>1+((56-25)/(79-25))*(($B$26/$G$84)-1)</f>
        <v>#DIV/0!</v>
      </c>
      <c r="I61" s="138" t="e">
        <f t="shared" si="6"/>
        <v>#DIV/0!</v>
      </c>
      <c r="J61" s="20"/>
      <c r="K61" s="20"/>
      <c r="L61" s="20"/>
      <c r="M61" s="20"/>
      <c r="N61" s="20"/>
      <c r="O61" s="20"/>
    </row>
    <row r="62" spans="1:15" ht="21.75" customHeight="1" x14ac:dyDescent="0.3">
      <c r="A62" s="129">
        <v>45565</v>
      </c>
      <c r="B62" s="136">
        <f t="shared" ref="B62:B93" si="7">IF(A62&lt;=$A$11,$B$11,IF(A62&lt;=$A$12,$B$11*($B$12/$B$11)^((A62-$A$11)/($A$12-$A$11)),IF(A62&lt;=$A$13,$B$12*($B$13/$B$12)^((A62-$A$12)/($A$13-$A$12)),IF(A62&lt;=$A$14,$B$13*($B$14/$B$13)^((A62-$A$13)/($A$14-$A$13)),IF(A62&lt;=$A$15,$B$14*($B$15/$B$14)^((A62-$A$14)/($A$15-$A$14)),IF(A62&lt;=$A$16,$B$15*($B$16/$B$15)^((A62-$A$15)/($A$16-$A$15)),IF(A62&lt;=$A$17,$B$16*($B$17/$B$16)^((A62-$A$16)/($A$17-$A$16)),IF(A62&lt;=$A$18,$B$17*($B$18/$B$17)^((A62-$A$17)/($A$18-$A$17)),$B$18))))))))</f>
        <v>28.450361076422137</v>
      </c>
      <c r="C62" s="136">
        <f t="shared" ref="C62:C80" si="8">IF(A62&lt;=$E$11,$F$11,IF(A62&lt;=$E$12,$F$11*($F$12/$F$11)^((A62-$E$11)/($E$12-$E$11)),IF(A62&lt;=$E$13,$F$12*($F$13/$F$12)^((A62-$E$12)/($E$13-$E$12)),IF(A62&lt;=$E$14,$F$13*($F$14/$F$13)^((A62-$E$13)/($E$14-$E$13)),IF(A62&lt;=$E$15,$F$14*($F$15/$F$14)^((A62-$E$14)/($E$15-$E$14)),IF(A62&lt;=$E$16,$F$15*($F$16/$F$15)^((A62-$E$15)/($E$16-$E$15)),IF(A62&lt;=$E$17,$F$16*($F$17/$F$16)^((A62-$E$16)/($E$17-$E$16)),IF(A62&lt;=$E$18,$F$17*($F$18/$F$17)^((A62-$E$17)/($E$18-$E$17)),$F$18))))))))</f>
        <v>13.125893121628298</v>
      </c>
      <c r="D62" s="137">
        <f t="shared" ref="D62:D80" si="9">B62/$B$30*100</f>
        <v>185.62327144494714</v>
      </c>
      <c r="E62" s="137">
        <f t="shared" ref="E62:E80" si="10">C62/$C$30*100</f>
        <v>101.22936464031555</v>
      </c>
      <c r="F62" s="137">
        <f t="shared" ref="F62:F93" si="11">D62*$B$22+E62*$B$23</f>
        <v>92.811635722473568</v>
      </c>
      <c r="G62" s="136">
        <f t="shared" ref="G62:G93" si="12">$B$25*F62/100</f>
        <v>9.2811635722473564</v>
      </c>
      <c r="H62" s="137" t="e">
        <f>1+((57-25)/(79-25))*(($B$26/$G$84)-1)</f>
        <v>#DIV/0!</v>
      </c>
      <c r="I62" s="138" t="e">
        <f t="shared" ref="I62:I93" si="13">G62*H62</f>
        <v>#DIV/0!</v>
      </c>
      <c r="J62" s="20"/>
      <c r="K62" s="20"/>
      <c r="L62" s="20"/>
      <c r="M62" s="20"/>
      <c r="N62" s="20"/>
      <c r="O62" s="20"/>
    </row>
    <row r="63" spans="1:15" ht="21.75" customHeight="1" x14ac:dyDescent="0.3">
      <c r="A63" s="129">
        <v>45596</v>
      </c>
      <c r="B63" s="136">
        <f t="shared" si="7"/>
        <v>31.157596358357257</v>
      </c>
      <c r="C63" s="136">
        <f t="shared" si="8"/>
        <v>13.882193053229734</v>
      </c>
      <c r="D63" s="137">
        <f t="shared" si="9"/>
        <v>203.2865224755445</v>
      </c>
      <c r="E63" s="137">
        <f t="shared" si="10"/>
        <v>107.06209242836798</v>
      </c>
      <c r="F63" s="137">
        <f t="shared" si="11"/>
        <v>101.64326123777225</v>
      </c>
      <c r="G63" s="136">
        <f t="shared" si="12"/>
        <v>10.164326123777226</v>
      </c>
      <c r="H63" s="137" t="e">
        <f>1+((58-25)/(79-25))*(($B$26/$G$84)-1)</f>
        <v>#DIV/0!</v>
      </c>
      <c r="I63" s="138" t="e">
        <f t="shared" si="13"/>
        <v>#DIV/0!</v>
      </c>
      <c r="J63" s="20"/>
      <c r="K63" s="20"/>
      <c r="L63" s="20"/>
      <c r="M63" s="20"/>
      <c r="N63" s="20"/>
      <c r="O63" s="20"/>
    </row>
    <row r="64" spans="1:15" ht="21.75" customHeight="1" x14ac:dyDescent="0.3">
      <c r="A64" s="129">
        <v>45626</v>
      </c>
      <c r="B64" s="136">
        <f t="shared" si="7"/>
        <v>34.022536318760466</v>
      </c>
      <c r="C64" s="136">
        <f t="shared" si="8"/>
        <v>14.655562172714852</v>
      </c>
      <c r="D64" s="137">
        <f t="shared" si="9"/>
        <v>221.97871153124416</v>
      </c>
      <c r="E64" s="137">
        <f t="shared" si="10"/>
        <v>113.02646101437448</v>
      </c>
      <c r="F64" s="137">
        <f t="shared" si="11"/>
        <v>110.98935576562208</v>
      </c>
      <c r="G64" s="136">
        <f t="shared" si="12"/>
        <v>11.098935576562207</v>
      </c>
      <c r="H64" s="137" t="e">
        <f>1+((59-25)/(79-25))*(($B$26/$G$84)-1)</f>
        <v>#DIV/0!</v>
      </c>
      <c r="I64" s="138" t="e">
        <f t="shared" si="13"/>
        <v>#DIV/0!</v>
      </c>
      <c r="J64" s="20"/>
      <c r="K64" s="20"/>
      <c r="L64" s="20"/>
      <c r="M64" s="20"/>
      <c r="N64" s="20"/>
      <c r="O64" s="20"/>
    </row>
    <row r="65" spans="1:15" ht="21.75" customHeight="1" x14ac:dyDescent="0.3">
      <c r="A65" s="129">
        <v>45657</v>
      </c>
      <c r="B65" s="136">
        <f t="shared" si="7"/>
        <v>37.26</v>
      </c>
      <c r="C65" s="136">
        <f t="shared" si="8"/>
        <v>15.5</v>
      </c>
      <c r="D65" s="137">
        <f t="shared" si="9"/>
        <v>243.10141707728769</v>
      </c>
      <c r="E65" s="137">
        <f t="shared" si="10"/>
        <v>119.53892488576396</v>
      </c>
      <c r="F65" s="137">
        <f t="shared" si="11"/>
        <v>121.55070853864385</v>
      </c>
      <c r="G65" s="136">
        <f t="shared" si="12"/>
        <v>12.155070853864386</v>
      </c>
      <c r="H65" s="137" t="e">
        <f>1+((60-25)/(79-25))*(($B$26/$G$84)-1)</f>
        <v>#DIV/0!</v>
      </c>
      <c r="I65" s="138" t="e">
        <f t="shared" si="13"/>
        <v>#DIV/0!</v>
      </c>
      <c r="J65" s="20"/>
      <c r="K65" s="20"/>
      <c r="L65" s="20"/>
      <c r="M65" s="20"/>
      <c r="N65" s="20"/>
      <c r="O65" s="20"/>
    </row>
    <row r="66" spans="1:15" ht="21.75" customHeight="1" x14ac:dyDescent="0.3">
      <c r="A66" s="129">
        <v>45688</v>
      </c>
      <c r="B66" s="136">
        <f t="shared" si="7"/>
        <v>0</v>
      </c>
      <c r="C66" s="136" t="e">
        <f t="shared" si="8"/>
        <v>#DIV/0!</v>
      </c>
      <c r="D66" s="137">
        <f t="shared" si="9"/>
        <v>0</v>
      </c>
      <c r="E66" s="137" t="e">
        <f t="shared" si="10"/>
        <v>#DIV/0!</v>
      </c>
      <c r="F66" s="137" t="e">
        <f t="shared" si="11"/>
        <v>#DIV/0!</v>
      </c>
      <c r="G66" s="136" t="e">
        <f t="shared" si="12"/>
        <v>#DIV/0!</v>
      </c>
      <c r="H66" s="137" t="e">
        <f>1+((61-25)/(79-25))*(($B$26/$G$84)-1)</f>
        <v>#DIV/0!</v>
      </c>
      <c r="I66" s="138" t="e">
        <f t="shared" si="13"/>
        <v>#DIV/0!</v>
      </c>
      <c r="J66" s="20"/>
      <c r="K66" s="20"/>
      <c r="L66" s="20"/>
      <c r="M66" s="20"/>
      <c r="N66" s="20"/>
      <c r="O66" s="20"/>
    </row>
    <row r="67" spans="1:15" ht="21.75" customHeight="1" x14ac:dyDescent="0.3">
      <c r="A67" s="129">
        <v>45716</v>
      </c>
      <c r="B67" s="136">
        <f t="shared" si="7"/>
        <v>0</v>
      </c>
      <c r="C67" s="136" t="e">
        <f t="shared" si="8"/>
        <v>#DIV/0!</v>
      </c>
      <c r="D67" s="137">
        <f t="shared" si="9"/>
        <v>0</v>
      </c>
      <c r="E67" s="137" t="e">
        <f t="shared" si="10"/>
        <v>#DIV/0!</v>
      </c>
      <c r="F67" s="137" t="e">
        <f t="shared" si="11"/>
        <v>#DIV/0!</v>
      </c>
      <c r="G67" s="136" t="e">
        <f t="shared" si="12"/>
        <v>#DIV/0!</v>
      </c>
      <c r="H67" s="137" t="e">
        <f>1+((62-25)/(79-25))*(($B$26/$G$84)-1)</f>
        <v>#DIV/0!</v>
      </c>
      <c r="I67" s="138" t="e">
        <f t="shared" si="13"/>
        <v>#DIV/0!</v>
      </c>
      <c r="J67" s="20"/>
      <c r="K67" s="20"/>
      <c r="L67" s="20"/>
      <c r="M67" s="20"/>
      <c r="N67" s="20"/>
      <c r="O67" s="20"/>
    </row>
    <row r="68" spans="1:15" ht="21.75" customHeight="1" x14ac:dyDescent="0.3">
      <c r="A68" s="129">
        <v>45747</v>
      </c>
      <c r="B68" s="136">
        <f t="shared" si="7"/>
        <v>0</v>
      </c>
      <c r="C68" s="136" t="e">
        <f t="shared" si="8"/>
        <v>#DIV/0!</v>
      </c>
      <c r="D68" s="137">
        <f t="shared" si="9"/>
        <v>0</v>
      </c>
      <c r="E68" s="137" t="e">
        <f t="shared" si="10"/>
        <v>#DIV/0!</v>
      </c>
      <c r="F68" s="137" t="e">
        <f t="shared" si="11"/>
        <v>#DIV/0!</v>
      </c>
      <c r="G68" s="136" t="e">
        <f t="shared" si="12"/>
        <v>#DIV/0!</v>
      </c>
      <c r="H68" s="137" t="e">
        <f>1+((63-25)/(79-25))*(($B$26/$G$84)-1)</f>
        <v>#DIV/0!</v>
      </c>
      <c r="I68" s="138" t="e">
        <f t="shared" si="13"/>
        <v>#DIV/0!</v>
      </c>
      <c r="J68" s="20"/>
      <c r="K68" s="20"/>
      <c r="L68" s="20"/>
      <c r="M68" s="20"/>
      <c r="N68" s="20"/>
      <c r="O68" s="20"/>
    </row>
    <row r="69" spans="1:15" ht="21.75" customHeight="1" x14ac:dyDescent="0.3">
      <c r="A69" s="129">
        <v>45777</v>
      </c>
      <c r="B69" s="136">
        <f t="shared" si="7"/>
        <v>0</v>
      </c>
      <c r="C69" s="136" t="e">
        <f t="shared" si="8"/>
        <v>#DIV/0!</v>
      </c>
      <c r="D69" s="137">
        <f t="shared" si="9"/>
        <v>0</v>
      </c>
      <c r="E69" s="137" t="e">
        <f t="shared" si="10"/>
        <v>#DIV/0!</v>
      </c>
      <c r="F69" s="137" t="e">
        <f t="shared" si="11"/>
        <v>#DIV/0!</v>
      </c>
      <c r="G69" s="136" t="e">
        <f t="shared" si="12"/>
        <v>#DIV/0!</v>
      </c>
      <c r="H69" s="137" t="e">
        <f>1+((64-25)/(79-25))*(($B$26/$G$84)-1)</f>
        <v>#DIV/0!</v>
      </c>
      <c r="I69" s="138" t="e">
        <f t="shared" si="13"/>
        <v>#DIV/0!</v>
      </c>
      <c r="J69" s="20"/>
      <c r="K69" s="20"/>
      <c r="L69" s="20"/>
      <c r="M69" s="20"/>
      <c r="N69" s="20"/>
      <c r="O69" s="20"/>
    </row>
    <row r="70" spans="1:15" ht="21.75" customHeight="1" x14ac:dyDescent="0.3">
      <c r="A70" s="129">
        <v>45808</v>
      </c>
      <c r="B70" s="136">
        <f t="shared" si="7"/>
        <v>0</v>
      </c>
      <c r="C70" s="136" t="e">
        <f t="shared" si="8"/>
        <v>#DIV/0!</v>
      </c>
      <c r="D70" s="137">
        <f t="shared" si="9"/>
        <v>0</v>
      </c>
      <c r="E70" s="137" t="e">
        <f t="shared" si="10"/>
        <v>#DIV/0!</v>
      </c>
      <c r="F70" s="137" t="e">
        <f t="shared" si="11"/>
        <v>#DIV/0!</v>
      </c>
      <c r="G70" s="136" t="e">
        <f t="shared" si="12"/>
        <v>#DIV/0!</v>
      </c>
      <c r="H70" s="137" t="e">
        <f>1+((65-25)/(79-25))*(($B$26/$G$84)-1)</f>
        <v>#DIV/0!</v>
      </c>
      <c r="I70" s="138" t="e">
        <f t="shared" si="13"/>
        <v>#DIV/0!</v>
      </c>
      <c r="J70" s="20"/>
      <c r="K70" s="20"/>
      <c r="L70" s="20"/>
      <c r="M70" s="20"/>
      <c r="N70" s="20"/>
      <c r="O70" s="20"/>
    </row>
    <row r="71" spans="1:15" ht="21.75" customHeight="1" x14ac:dyDescent="0.3">
      <c r="A71" s="129">
        <v>45838</v>
      </c>
      <c r="B71" s="136">
        <f t="shared" si="7"/>
        <v>0</v>
      </c>
      <c r="C71" s="136" t="e">
        <f t="shared" si="8"/>
        <v>#DIV/0!</v>
      </c>
      <c r="D71" s="137">
        <f t="shared" si="9"/>
        <v>0</v>
      </c>
      <c r="E71" s="137" t="e">
        <f t="shared" si="10"/>
        <v>#DIV/0!</v>
      </c>
      <c r="F71" s="137" t="e">
        <f t="shared" si="11"/>
        <v>#DIV/0!</v>
      </c>
      <c r="G71" s="136" t="e">
        <f t="shared" si="12"/>
        <v>#DIV/0!</v>
      </c>
      <c r="H71" s="137" t="e">
        <f>1+((66-25)/(79-25))*(($B$26/$G$84)-1)</f>
        <v>#DIV/0!</v>
      </c>
      <c r="I71" s="138" t="e">
        <f t="shared" si="13"/>
        <v>#DIV/0!</v>
      </c>
      <c r="J71" s="20"/>
      <c r="K71" s="20"/>
      <c r="L71" s="20"/>
      <c r="M71" s="20"/>
      <c r="N71" s="20"/>
      <c r="O71" s="20"/>
    </row>
    <row r="72" spans="1:15" ht="21.75" customHeight="1" x14ac:dyDescent="0.3">
      <c r="A72" s="129">
        <v>45869</v>
      </c>
      <c r="B72" s="136">
        <f t="shared" si="7"/>
        <v>0</v>
      </c>
      <c r="C72" s="136" t="e">
        <f t="shared" si="8"/>
        <v>#DIV/0!</v>
      </c>
      <c r="D72" s="137">
        <f t="shared" si="9"/>
        <v>0</v>
      </c>
      <c r="E72" s="137" t="e">
        <f t="shared" si="10"/>
        <v>#DIV/0!</v>
      </c>
      <c r="F72" s="137" t="e">
        <f t="shared" si="11"/>
        <v>#DIV/0!</v>
      </c>
      <c r="G72" s="136" t="e">
        <f t="shared" si="12"/>
        <v>#DIV/0!</v>
      </c>
      <c r="H72" s="137" t="e">
        <f>1+((67-25)/(79-25))*(($B$26/$G$84)-1)</f>
        <v>#DIV/0!</v>
      </c>
      <c r="I72" s="138" t="e">
        <f t="shared" si="13"/>
        <v>#DIV/0!</v>
      </c>
      <c r="J72" s="20"/>
      <c r="K72" s="20"/>
      <c r="L72" s="20"/>
      <c r="M72" s="20"/>
      <c r="N72" s="20"/>
      <c r="O72" s="20"/>
    </row>
    <row r="73" spans="1:15" ht="21.75" customHeight="1" x14ac:dyDescent="0.3">
      <c r="A73" s="129">
        <v>45900</v>
      </c>
      <c r="B73" s="136">
        <f t="shared" si="7"/>
        <v>0</v>
      </c>
      <c r="C73" s="136" t="e">
        <f t="shared" si="8"/>
        <v>#DIV/0!</v>
      </c>
      <c r="D73" s="137">
        <f t="shared" si="9"/>
        <v>0</v>
      </c>
      <c r="E73" s="137" t="e">
        <f t="shared" si="10"/>
        <v>#DIV/0!</v>
      </c>
      <c r="F73" s="137" t="e">
        <f t="shared" si="11"/>
        <v>#DIV/0!</v>
      </c>
      <c r="G73" s="136" t="e">
        <f t="shared" si="12"/>
        <v>#DIV/0!</v>
      </c>
      <c r="H73" s="137" t="e">
        <f>1+((68-25)/(79-25))*(($B$26/$G$84)-1)</f>
        <v>#DIV/0!</v>
      </c>
      <c r="I73" s="138" t="e">
        <f t="shared" si="13"/>
        <v>#DIV/0!</v>
      </c>
      <c r="J73" s="20"/>
      <c r="K73" s="20"/>
      <c r="L73" s="20"/>
      <c r="M73" s="20"/>
      <c r="N73" s="20"/>
      <c r="O73" s="20"/>
    </row>
    <row r="74" spans="1:15" ht="21.75" customHeight="1" x14ac:dyDescent="0.3">
      <c r="A74" s="129">
        <v>45930</v>
      </c>
      <c r="B74" s="136">
        <f t="shared" si="7"/>
        <v>0</v>
      </c>
      <c r="C74" s="136" t="e">
        <f t="shared" si="8"/>
        <v>#DIV/0!</v>
      </c>
      <c r="D74" s="137">
        <f t="shared" si="9"/>
        <v>0</v>
      </c>
      <c r="E74" s="137" t="e">
        <f t="shared" si="10"/>
        <v>#DIV/0!</v>
      </c>
      <c r="F74" s="137" t="e">
        <f t="shared" si="11"/>
        <v>#DIV/0!</v>
      </c>
      <c r="G74" s="136" t="e">
        <f t="shared" si="12"/>
        <v>#DIV/0!</v>
      </c>
      <c r="H74" s="137" t="e">
        <f>1+((69-25)/(79-25))*(($B$26/$G$84)-1)</f>
        <v>#DIV/0!</v>
      </c>
      <c r="I74" s="138" t="e">
        <f t="shared" si="13"/>
        <v>#DIV/0!</v>
      </c>
      <c r="J74" s="20"/>
      <c r="K74" s="20"/>
      <c r="L74" s="20"/>
      <c r="M74" s="20"/>
      <c r="N74" s="20"/>
      <c r="O74" s="20"/>
    </row>
    <row r="75" spans="1:15" ht="21.75" customHeight="1" x14ac:dyDescent="0.3">
      <c r="A75" s="129">
        <v>45961</v>
      </c>
      <c r="B75" s="136" t="e">
        <f t="shared" si="7"/>
        <v>#DIV/0!</v>
      </c>
      <c r="C75" s="136" t="e">
        <f t="shared" si="8"/>
        <v>#DIV/0!</v>
      </c>
      <c r="D75" s="137" t="e">
        <f t="shared" si="9"/>
        <v>#DIV/0!</v>
      </c>
      <c r="E75" s="137" t="e">
        <f t="shared" si="10"/>
        <v>#DIV/0!</v>
      </c>
      <c r="F75" s="137" t="e">
        <f t="shared" si="11"/>
        <v>#DIV/0!</v>
      </c>
      <c r="G75" s="136" t="e">
        <f t="shared" si="12"/>
        <v>#DIV/0!</v>
      </c>
      <c r="H75" s="137" t="e">
        <f>1+((70-25)/(79-25))*(($B$26/$G$84)-1)</f>
        <v>#DIV/0!</v>
      </c>
      <c r="I75" s="138" t="e">
        <f t="shared" si="13"/>
        <v>#DIV/0!</v>
      </c>
      <c r="J75" s="20"/>
      <c r="K75" s="20"/>
      <c r="L75" s="20"/>
      <c r="M75" s="20"/>
      <c r="N75" s="20"/>
      <c r="O75" s="20"/>
    </row>
    <row r="76" spans="1:15" ht="21.75" customHeight="1" x14ac:dyDescent="0.3">
      <c r="A76" s="129">
        <v>45991</v>
      </c>
      <c r="B76" s="136" t="e">
        <f t="shared" si="7"/>
        <v>#DIV/0!</v>
      </c>
      <c r="C76" s="136" t="e">
        <f t="shared" si="8"/>
        <v>#DIV/0!</v>
      </c>
      <c r="D76" s="137" t="e">
        <f t="shared" si="9"/>
        <v>#DIV/0!</v>
      </c>
      <c r="E76" s="137" t="e">
        <f t="shared" si="10"/>
        <v>#DIV/0!</v>
      </c>
      <c r="F76" s="137" t="e">
        <f t="shared" si="11"/>
        <v>#DIV/0!</v>
      </c>
      <c r="G76" s="136" t="e">
        <f t="shared" si="12"/>
        <v>#DIV/0!</v>
      </c>
      <c r="H76" s="137" t="e">
        <f>1+((71-25)/(79-25))*(($B$26/$G$84)-1)</f>
        <v>#DIV/0!</v>
      </c>
      <c r="I76" s="138" t="e">
        <f t="shared" si="13"/>
        <v>#DIV/0!</v>
      </c>
      <c r="J76" s="20"/>
      <c r="K76" s="20"/>
      <c r="L76" s="20"/>
      <c r="M76" s="20"/>
      <c r="N76" s="20"/>
      <c r="O76" s="20"/>
    </row>
    <row r="77" spans="1:15" ht="21.75" customHeight="1" x14ac:dyDescent="0.3">
      <c r="A77" s="129">
        <v>46022</v>
      </c>
      <c r="B77" s="136" t="e">
        <f t="shared" si="7"/>
        <v>#DIV/0!</v>
      </c>
      <c r="C77" s="136" t="e">
        <f t="shared" si="8"/>
        <v>#DIV/0!</v>
      </c>
      <c r="D77" s="137" t="e">
        <f t="shared" si="9"/>
        <v>#DIV/0!</v>
      </c>
      <c r="E77" s="137" t="e">
        <f t="shared" si="10"/>
        <v>#DIV/0!</v>
      </c>
      <c r="F77" s="137" t="e">
        <f t="shared" si="11"/>
        <v>#DIV/0!</v>
      </c>
      <c r="G77" s="136" t="e">
        <f t="shared" si="12"/>
        <v>#DIV/0!</v>
      </c>
      <c r="H77" s="137" t="e">
        <f>1+((72-25)/(79-25))*(($B$26/$G$84)-1)</f>
        <v>#DIV/0!</v>
      </c>
      <c r="I77" s="138" t="e">
        <f t="shared" si="13"/>
        <v>#DIV/0!</v>
      </c>
      <c r="J77" s="20"/>
      <c r="K77" s="20"/>
      <c r="L77" s="20"/>
      <c r="M77" s="20"/>
      <c r="N77" s="20"/>
      <c r="O77" s="20"/>
    </row>
    <row r="78" spans="1:15" ht="21.75" customHeight="1" x14ac:dyDescent="0.3">
      <c r="A78" s="129">
        <v>46053</v>
      </c>
      <c r="B78" s="136">
        <f t="shared" si="7"/>
        <v>111.05362642098176</v>
      </c>
      <c r="C78" s="136" t="e">
        <f t="shared" si="8"/>
        <v>#DIV/0!</v>
      </c>
      <c r="D78" s="137">
        <f t="shared" si="9"/>
        <v>724.56505513989225</v>
      </c>
      <c r="E78" s="137" t="e">
        <f t="shared" si="10"/>
        <v>#DIV/0!</v>
      </c>
      <c r="F78" s="137" t="e">
        <f t="shared" si="11"/>
        <v>#DIV/0!</v>
      </c>
      <c r="G78" s="136" t="e">
        <f t="shared" si="12"/>
        <v>#DIV/0!</v>
      </c>
      <c r="H78" s="137" t="e">
        <f>1+((73-25)/(79-25))*(($B$26/$G$84)-1)</f>
        <v>#DIV/0!</v>
      </c>
      <c r="I78" s="138" t="e">
        <f t="shared" si="13"/>
        <v>#DIV/0!</v>
      </c>
      <c r="J78" s="20"/>
      <c r="K78" s="20"/>
      <c r="L78" s="20"/>
      <c r="M78" s="20"/>
      <c r="N78" s="20"/>
      <c r="O78" s="20"/>
    </row>
    <row r="79" spans="1:15" ht="21.75" customHeight="1" x14ac:dyDescent="0.3">
      <c r="A79" s="129">
        <v>46081</v>
      </c>
      <c r="B79" s="136">
        <f t="shared" si="7"/>
        <v>109.23713233138965</v>
      </c>
      <c r="C79" s="136" t="e">
        <f t="shared" si="8"/>
        <v>#DIV/0!</v>
      </c>
      <c r="D79" s="137">
        <f t="shared" si="9"/>
        <v>712.71341028502479</v>
      </c>
      <c r="E79" s="137" t="e">
        <f t="shared" si="10"/>
        <v>#DIV/0!</v>
      </c>
      <c r="F79" s="137" t="e">
        <f t="shared" si="11"/>
        <v>#DIV/0!</v>
      </c>
      <c r="G79" s="136" t="e">
        <f t="shared" si="12"/>
        <v>#DIV/0!</v>
      </c>
      <c r="H79" s="137" t="e">
        <f>1+((74-25)/(79-25))*(($B$26/$G$84)-1)</f>
        <v>#DIV/0!</v>
      </c>
      <c r="I79" s="138" t="e">
        <f t="shared" si="13"/>
        <v>#DIV/0!</v>
      </c>
      <c r="J79" s="20"/>
      <c r="K79" s="20"/>
      <c r="L79" s="20"/>
      <c r="M79" s="20"/>
      <c r="N79" s="20"/>
      <c r="O79" s="20"/>
    </row>
    <row r="80" spans="1:15" ht="21.75" customHeight="1" x14ac:dyDescent="0.3">
      <c r="A80" s="129">
        <v>46112</v>
      </c>
      <c r="B80" s="136">
        <f t="shared" si="7"/>
        <v>107.26065150512373</v>
      </c>
      <c r="C80" s="136" t="e">
        <f t="shared" si="8"/>
        <v>#DIV/0!</v>
      </c>
      <c r="D80" s="137">
        <f t="shared" si="9"/>
        <v>699.81793820527901</v>
      </c>
      <c r="E80" s="137" t="e">
        <f t="shared" si="10"/>
        <v>#DIV/0!</v>
      </c>
      <c r="F80" s="137" t="e">
        <f t="shared" si="11"/>
        <v>#DIV/0!</v>
      </c>
      <c r="G80" s="136" t="e">
        <f t="shared" si="12"/>
        <v>#DIV/0!</v>
      </c>
      <c r="H80" s="137" t="e">
        <f>1+((75-25)/(79-25))*(($B$26/$G$84)-1)</f>
        <v>#DIV/0!</v>
      </c>
      <c r="I80" s="138" t="e">
        <f t="shared" si="13"/>
        <v>#DIV/0!</v>
      </c>
      <c r="J80" s="20"/>
      <c r="K80" s="20"/>
      <c r="L80" s="20"/>
      <c r="M80" s="20"/>
      <c r="N80" s="20"/>
      <c r="O80" s="20"/>
    </row>
    <row r="81" spans="1:15" ht="21.75" customHeight="1" x14ac:dyDescent="0.3">
      <c r="A81" s="143">
        <v>46142</v>
      </c>
      <c r="B81" s="143"/>
      <c r="C81" s="143"/>
      <c r="D81" s="143"/>
      <c r="E81" s="143"/>
      <c r="F81" s="143"/>
      <c r="G81" s="143"/>
      <c r="H81" s="143"/>
      <c r="I81" s="143"/>
      <c r="J81" s="20"/>
      <c r="K81" s="20"/>
      <c r="L81" s="20"/>
      <c r="M81" s="20"/>
      <c r="N81" s="20"/>
      <c r="O81" s="20"/>
    </row>
    <row r="82" spans="1:15" ht="21.75" customHeight="1" x14ac:dyDescent="0.3">
      <c r="A82" s="129">
        <v>46173</v>
      </c>
      <c r="B82" s="136">
        <f>IF(A82&lt;=$A$11,$B$11,IF(A82&lt;=$A$12,$B$11*($B$12/$B$11)^((A82-$A$11)/($A$12-$A$11)),IF(A82&lt;=$A$13,$B$12*($B$13/$B$12)^((A82-$A$12)/($A$13-$A$12)),IF(A82&lt;=$A$14,$B$13*($B$14/$B$13)^((A82-$A$13)/($A$14-$A$13)),IF(A82&lt;=$A$15,$B$14*($B$15/$B$14)^((A82-$A$14)/($A$15-$A$14)),IF(A82&lt;=$A$16,$B$15*($B$16/$B$15)^((A82-$A$15)/($A$16-$A$15)),IF(A82&lt;=$A$17,$B$16*($B$17/$B$16)^((A82-$A$16)/($A$17-$A$16)),IF(A82&lt;=$A$18,$B$17*($B$18/$B$17)^((A82-$A$17)/($A$18-$A$17)),$B$18))))))))</f>
        <v>103.47525667753662</v>
      </c>
      <c r="C82" s="136" t="e">
        <f>IF(A82&lt;=$E$11,$F$11,IF(A82&lt;=$E$12,$F$11*($F$12/$F$11)^((A82-$E$11)/($E$12-$E$11)),IF(A82&lt;=$E$13,$F$12*($F$13/$F$12)^((A82-$E$12)/($E$13-$E$12)),IF(A82&lt;=$E$14,$F$13*($F$14/$F$13)^((A82-$E$13)/($E$14-$E$13)),IF(A82&lt;=$E$15,$F$14*($F$15/$F$14)^((A82-$E$14)/($E$15-$E$14)),IF(A82&lt;=$E$16,$F$15*($F$16/$F$15)^((A82-$E$15)/($E$16-$E$15)),IF(A82&lt;=$E$17,$F$16*($F$17/$F$16)^((A82-$E$16)/($E$17-$E$16)),IF(A82&lt;=$E$18,$F$17*($F$18/$F$17)^((A82-$E$17)/($E$18-$E$17)),$F$18))))))))</f>
        <v>#DIV/0!</v>
      </c>
      <c r="D82" s="145">
        <f>B82/$B$30*100</f>
        <v>675.12027726100996</v>
      </c>
      <c r="E82" s="145"/>
      <c r="F82" s="145"/>
      <c r="G82" s="145"/>
      <c r="H82" s="145"/>
      <c r="I82" s="145"/>
      <c r="J82" s="20"/>
      <c r="K82" s="20"/>
      <c r="L82" s="20"/>
      <c r="M82" s="20"/>
      <c r="N82" s="20"/>
      <c r="O82" s="20"/>
    </row>
    <row r="83" spans="1:15" ht="21.75" customHeight="1" x14ac:dyDescent="0.3">
      <c r="A83" s="129">
        <v>46203</v>
      </c>
      <c r="B83" s="136">
        <f>IF(A83&lt;=$A$11,$B$11,IF(A83&lt;=$A$12,$B$11*($B$12/$B$11)^((A83-$A$11)/($A$12-$A$11)),IF(A83&lt;=$A$13,$B$12*($B$13/$B$12)^((A83-$A$12)/($A$13-$A$12)),IF(A83&lt;=$A$14,$B$13*($B$14/$B$13)^((A83-$A$13)/($A$14-$A$13)),IF(A83&lt;=$A$15,$B$14*($B$15/$B$14)^((A83-$A$14)/($A$15-$A$14)),IF(A83&lt;=$A$16,$B$15*($B$16/$B$15)^((A83-$A$15)/($A$16-$A$15)),IF(A83&lt;=$A$17,$B$16*($B$17/$B$16)^((A83-$A$16)/($A$17-$A$16)),IF(A83&lt;=$A$18,$B$17*($B$18/$B$17)^((A83-$A$17)/($A$18-$A$17)),$B$18))))))))</f>
        <v>101.66289067721172</v>
      </c>
      <c r="C83" s="136" t="e">
        <f>IF(A83&lt;=$E$11,$F$11,IF(A83&lt;=$E$12,$F$11*($F$12/$F$11)^((A83-$E$11)/($E$12-$E$11)),IF(A83&lt;=$E$13,$F$12*($F$13/$F$12)^((A83-$E$12)/($E$13-$E$12)),IF(A83&lt;=$E$14,$F$13*($F$14/$F$13)^((A83-$E$13)/($E$14-$E$13)),IF(A83&lt;=$E$15,$F$14*($F$15/$F$14)^((A83-$E$14)/($E$15-$E$14)),IF(A83&lt;=$E$16,$F$15*($F$16/$F$15)^((A83-$E$15)/($E$16-$E$15)),IF(A83&lt;=$E$17,$F$16*($F$17/$F$16)^((A83-$E$16)/($E$17-$E$16)),IF(A83&lt;=$E$18,$F$17*($F$18/$F$17)^((A83-$E$17)/($E$18-$E$17)),$F$18))))))))</f>
        <v>#DIV/0!</v>
      </c>
      <c r="D83" s="145">
        <f>B83/$B$30*100</f>
        <v>663.29556596359498</v>
      </c>
      <c r="E83" s="145"/>
      <c r="F83" s="145"/>
      <c r="G83" s="145"/>
      <c r="H83" s="145"/>
      <c r="I83" s="145"/>
      <c r="J83" s="20"/>
      <c r="K83" s="20"/>
      <c r="L83" s="20"/>
      <c r="M83" s="20"/>
      <c r="N83" s="20"/>
      <c r="O83" s="20"/>
    </row>
    <row r="84" spans="1:15" ht="21.75" customHeight="1" x14ac:dyDescent="0.3">
      <c r="A84" s="129">
        <v>46234</v>
      </c>
      <c r="B84" s="136">
        <f>IF(A84&lt;=$A$11,$B$11,IF(A84&lt;=$A$12,$B$11*($B$12/$B$11)^((A84-$A$11)/($A$12-$A$11)),IF(A84&lt;=$A$13,$B$12*($B$13/$B$12)^((A84-$A$12)/($A$13-$A$12)),IF(A84&lt;=$A$14,$B$13*($B$14/$B$13)^((A84-$A$13)/($A$14-$A$13)),IF(A84&lt;=$A$15,$B$14*($B$15/$B$14)^((A84-$A$14)/($A$15-$A$14)),IF(A84&lt;=$A$16,$B$15*($B$16/$B$15)^((A84-$A$15)/($A$16-$A$15)),IF(A84&lt;=$A$17,$B$16*($B$17/$B$16)^((A84-$A$16)/($A$17-$A$16)),IF(A84&lt;=$A$18,$B$17*($B$18/$B$17)^((A84-$A$17)/($A$18-$A$17)),$B$18))))))))</f>
        <v>100</v>
      </c>
      <c r="C84" s="136">
        <f>IF(A84&lt;=$E$11,$F$11,IF(A84&lt;=$E$12,$F$11*($F$12/$F$11)^((A84-$E$11)/($E$12-$E$11)),IF(A84&lt;=$E$13,$F$12*($F$13/$F$12)^((A84-$E$12)/($E$13-$E$12)),IF(A84&lt;=$E$14,$F$13*($F$14/$F$13)^((A84-$E$13)/($E$14-$E$13)),IF(A84&lt;=$E$15,$F$14*($F$15/$F$14)^((A84-$E$14)/($E$15-$E$14)),IF(A84&lt;=$E$16,$F$15*($F$16/$F$15)^((A84-$E$15)/($E$16-$E$15)),IF(A84&lt;=$E$17,$F$16*($F$17/$F$16)^((A84-$E$16)/($E$17-$E$16)),IF(A84&lt;=$E$18,$F$17*($F$18/$F$17)^((A84-$E$17)/($E$18-$E$17)),$F$18))))))))</f>
        <v>16.739999999999998</v>
      </c>
      <c r="D84" s="145">
        <f>B84/$B$30*100</f>
        <v>652.44610058316619</v>
      </c>
      <c r="E84" s="145"/>
      <c r="F84" s="145"/>
      <c r="G84" s="145"/>
      <c r="H84" s="145"/>
      <c r="I84" s="145"/>
      <c r="J84" s="20"/>
      <c r="K84" s="20"/>
      <c r="L84" s="20"/>
      <c r="M84" s="20"/>
      <c r="N84" s="20"/>
      <c r="O84" s="20"/>
    </row>
    <row r="85" spans="1:15" ht="33.75" customHeight="1" x14ac:dyDescent="0.3">
      <c r="D85" s="12"/>
      <c r="E85" s="12"/>
      <c r="F85" s="12"/>
      <c r="G85" s="12"/>
      <c r="H85" s="12"/>
      <c r="I85" s="12"/>
    </row>
    <row r="86" spans="1:15" ht="21.75" customHeight="1" x14ac:dyDescent="0.3">
      <c r="A86" s="36" t="s">
        <v>962</v>
      </c>
      <c r="B86" s="20"/>
      <c r="C86" s="20"/>
      <c r="D86" s="11"/>
      <c r="E86" s="11"/>
      <c r="F86" s="11"/>
      <c r="G86" s="11"/>
      <c r="H86" s="11"/>
      <c r="I86" s="11"/>
      <c r="J86" s="20"/>
      <c r="K86" s="20"/>
      <c r="L86" s="20"/>
      <c r="M86" s="20"/>
      <c r="N86" s="20"/>
      <c r="O86" s="20"/>
    </row>
    <row r="87" spans="1:15" ht="21.75" customHeight="1" x14ac:dyDescent="0.3">
      <c r="A87" s="37" t="s">
        <v>165</v>
      </c>
      <c r="B87" s="37" t="s">
        <v>963</v>
      </c>
      <c r="C87" s="37" t="s">
        <v>964</v>
      </c>
      <c r="D87" s="37" t="s">
        <v>965</v>
      </c>
      <c r="E87" s="20"/>
      <c r="F87" s="20"/>
      <c r="G87" s="20"/>
      <c r="H87" s="20"/>
      <c r="I87" s="20"/>
      <c r="J87" s="20"/>
      <c r="K87" s="20"/>
      <c r="L87" s="20"/>
      <c r="M87" s="20"/>
      <c r="N87" s="20"/>
      <c r="O87" s="20"/>
    </row>
    <row r="88" spans="1:15" ht="21.75" customHeight="1" x14ac:dyDescent="0.3">
      <c r="A88" s="143">
        <v>44576</v>
      </c>
      <c r="B88" s="143"/>
      <c r="C88" s="143"/>
      <c r="D88" s="143"/>
      <c r="E88" s="143"/>
      <c r="F88" s="143"/>
      <c r="G88" s="143"/>
      <c r="H88" s="143"/>
      <c r="I88" s="143"/>
      <c r="J88" s="20"/>
      <c r="K88" s="20"/>
      <c r="L88" s="20"/>
      <c r="M88" s="20"/>
      <c r="N88" s="20"/>
      <c r="O88" s="20"/>
    </row>
    <row r="89" spans="1:15" ht="21.75" customHeight="1" x14ac:dyDescent="0.3">
      <c r="A89" s="143">
        <v>44621</v>
      </c>
      <c r="B89" s="143"/>
      <c r="C89" s="146">
        <f>1900/('Cap Table &amp; Ownership'!B16/1000000*1.05)</f>
        <v>8.4799523397043295</v>
      </c>
      <c r="D89" s="146"/>
      <c r="E89" s="146"/>
      <c r="F89" s="146"/>
      <c r="G89" s="146"/>
      <c r="H89" s="146"/>
      <c r="I89" s="146"/>
      <c r="J89" s="20"/>
      <c r="K89" s="20"/>
      <c r="L89" s="20"/>
      <c r="M89" s="20"/>
      <c r="N89" s="20"/>
      <c r="O89" s="20"/>
    </row>
    <row r="90" spans="1:15" ht="21.75" customHeight="1" x14ac:dyDescent="0.3">
      <c r="A90" s="143">
        <v>46143</v>
      </c>
      <c r="B90" s="143"/>
      <c r="C90" s="146">
        <f>2200/('Cap Table &amp; Ownership'!B16/1000000*1.1)</f>
        <v>9.3725789017784695</v>
      </c>
      <c r="D90" s="146"/>
      <c r="E90" s="146"/>
      <c r="F90" s="146"/>
      <c r="G90" s="146"/>
      <c r="H90" s="146"/>
      <c r="I90" s="146"/>
      <c r="J90" s="20"/>
      <c r="K90" s="20"/>
      <c r="L90" s="20"/>
      <c r="M90" s="20"/>
      <c r="N90" s="20"/>
      <c r="O90" s="20"/>
    </row>
    <row r="91" spans="1:15" ht="21.75" customHeight="1" x14ac:dyDescent="0.3">
      <c r="A91" s="143">
        <v>46234</v>
      </c>
      <c r="B91" s="143"/>
      <c r="C91" s="146">
        <f>'Output Tables'!C22</f>
        <v>0</v>
      </c>
      <c r="D91" s="146"/>
      <c r="E91" s="146"/>
      <c r="F91" s="146"/>
      <c r="G91" s="146"/>
      <c r="H91" s="146"/>
      <c r="I91" s="146"/>
      <c r="J91" s="20"/>
      <c r="K91" s="20"/>
      <c r="L91" s="20"/>
      <c r="M91" s="20"/>
      <c r="N91" s="20"/>
      <c r="O91" s="20"/>
    </row>
    <row r="92" spans="1:15" ht="69.75" customHeight="1" x14ac:dyDescent="0.3">
      <c r="A92" s="12"/>
      <c r="B92" s="12"/>
      <c r="C92" s="12"/>
      <c r="D92" s="12"/>
      <c r="E92" s="12"/>
      <c r="F92" s="12"/>
      <c r="G92" s="12"/>
      <c r="H92" s="12"/>
      <c r="I92" s="12"/>
    </row>
    <row r="93" spans="1:15" ht="21.75" customHeight="1" x14ac:dyDescent="0.3">
      <c r="A93" s="1" t="s">
        <v>966</v>
      </c>
      <c r="B93" s="1"/>
      <c r="C93" s="11"/>
      <c r="D93" s="11"/>
      <c r="E93" s="11"/>
      <c r="F93" s="11"/>
      <c r="G93" s="11"/>
      <c r="H93" s="11"/>
      <c r="I93" s="11"/>
      <c r="J93" s="20"/>
      <c r="K93" s="20"/>
      <c r="L93" s="20"/>
      <c r="M93" s="20"/>
      <c r="N93" s="20"/>
      <c r="O93" s="20"/>
    </row>
    <row r="94" spans="1:15" ht="21.75" customHeight="1" x14ac:dyDescent="0.3">
      <c r="A94" s="140" t="s">
        <v>967</v>
      </c>
      <c r="B94" s="140"/>
      <c r="C94" s="3" t="s">
        <v>968</v>
      </c>
      <c r="D94" s="3"/>
      <c r="E94" s="3"/>
      <c r="F94" s="3"/>
      <c r="G94" s="3"/>
      <c r="H94" s="3"/>
      <c r="I94" s="3"/>
      <c r="J94" s="20"/>
      <c r="K94" s="20"/>
      <c r="L94" s="20"/>
      <c r="M94" s="20"/>
      <c r="N94" s="20"/>
      <c r="O94" s="20"/>
    </row>
    <row r="95" spans="1:15" ht="21.75" customHeight="1" x14ac:dyDescent="0.3">
      <c r="A95" s="140" t="s">
        <v>969</v>
      </c>
      <c r="B95" s="140"/>
      <c r="C95" s="3" t="s">
        <v>970</v>
      </c>
      <c r="D95" s="3"/>
      <c r="E95" s="3"/>
      <c r="F95" s="3"/>
      <c r="G95" s="3"/>
      <c r="H95" s="3"/>
      <c r="I95" s="3"/>
      <c r="J95" s="20"/>
      <c r="K95" s="20"/>
      <c r="L95" s="20"/>
      <c r="M95" s="20"/>
      <c r="N95" s="20"/>
      <c r="O95" s="20"/>
    </row>
    <row r="96" spans="1:15" ht="21.75" customHeight="1" x14ac:dyDescent="0.3">
      <c r="A96" s="140" t="s">
        <v>971</v>
      </c>
      <c r="B96" s="140"/>
      <c r="C96" s="3" t="s">
        <v>972</v>
      </c>
      <c r="D96" s="3"/>
      <c r="E96" s="3"/>
      <c r="F96" s="3"/>
      <c r="G96" s="3"/>
      <c r="H96" s="3"/>
      <c r="I96" s="3"/>
      <c r="J96" s="20"/>
      <c r="K96" s="20"/>
      <c r="L96" s="20"/>
      <c r="M96" s="20"/>
      <c r="N96" s="20"/>
      <c r="O96" s="20"/>
    </row>
    <row r="97" spans="1:15" ht="21.75" customHeight="1" x14ac:dyDescent="0.3">
      <c r="A97" s="115" t="s">
        <v>973</v>
      </c>
      <c r="B97" s="20"/>
      <c r="C97" s="98" t="s">
        <v>974</v>
      </c>
      <c r="D97" s="20"/>
      <c r="E97" s="20"/>
      <c r="F97" s="20"/>
      <c r="G97" s="20"/>
      <c r="H97" s="20"/>
      <c r="I97" s="20"/>
      <c r="J97" s="20"/>
      <c r="K97" s="20"/>
      <c r="L97" s="20"/>
      <c r="M97" s="20"/>
      <c r="N97" s="20"/>
      <c r="O97" s="20"/>
    </row>
    <row r="98" spans="1:15" ht="21.75" customHeight="1" x14ac:dyDescent="0.3">
      <c r="A98" s="115" t="s">
        <v>975</v>
      </c>
      <c r="B98" s="20"/>
      <c r="C98" s="98" t="s">
        <v>976</v>
      </c>
      <c r="D98" s="20"/>
      <c r="E98" s="20"/>
      <c r="F98" s="20"/>
      <c r="G98" s="20"/>
      <c r="H98" s="20"/>
      <c r="I98" s="20"/>
      <c r="J98" s="20"/>
      <c r="K98" s="20"/>
      <c r="L98" s="20"/>
      <c r="M98" s="20"/>
      <c r="N98" s="20"/>
      <c r="O98" s="20"/>
    </row>
    <row r="99" spans="1:15" ht="21.75" customHeight="1" x14ac:dyDescent="0.3">
      <c r="A99" s="115" t="s">
        <v>977</v>
      </c>
      <c r="B99" s="20"/>
      <c r="C99" s="98" t="s">
        <v>978</v>
      </c>
      <c r="D99" s="20"/>
      <c r="E99" s="20"/>
      <c r="F99" s="20"/>
      <c r="G99" s="20"/>
      <c r="H99" s="20"/>
      <c r="I99" s="20"/>
      <c r="J99" s="20"/>
      <c r="K99" s="20"/>
      <c r="L99" s="20"/>
      <c r="M99" s="20"/>
      <c r="N99" s="20"/>
      <c r="O99" s="20"/>
    </row>
    <row r="100" spans="1:15" ht="21.75" customHeight="1" x14ac:dyDescent="0.3">
      <c r="A100" s="115" t="s">
        <v>979</v>
      </c>
      <c r="B100" s="20"/>
      <c r="C100" s="98" t="s">
        <v>980</v>
      </c>
      <c r="D100" s="20"/>
      <c r="E100" s="20"/>
      <c r="F100" s="20"/>
      <c r="G100" s="20"/>
      <c r="H100" s="20"/>
      <c r="I100" s="20"/>
      <c r="J100" s="20"/>
      <c r="K100" s="20"/>
      <c r="L100" s="20"/>
      <c r="M100" s="20"/>
      <c r="N100" s="20"/>
      <c r="O100" s="20"/>
    </row>
    <row r="101" spans="1:15" ht="21.75" customHeight="1" x14ac:dyDescent="0.3">
      <c r="A101" s="115" t="s">
        <v>981</v>
      </c>
      <c r="B101" s="20"/>
      <c r="C101" s="98" t="s">
        <v>982</v>
      </c>
      <c r="D101" s="20"/>
      <c r="E101" s="20"/>
      <c r="F101" s="20"/>
      <c r="G101" s="20"/>
      <c r="H101" s="20"/>
      <c r="I101" s="20"/>
      <c r="J101" s="20"/>
      <c r="K101" s="20"/>
      <c r="L101" s="20"/>
      <c r="M101" s="20"/>
      <c r="N101" s="20"/>
      <c r="O101" s="20"/>
    </row>
  </sheetData>
  <mergeCells count="29">
    <mergeCell ref="A96:B96"/>
    <mergeCell ref="C96:I96"/>
    <mergeCell ref="A93:B93"/>
    <mergeCell ref="C93:I93"/>
    <mergeCell ref="A94:B94"/>
    <mergeCell ref="C94:I94"/>
    <mergeCell ref="A95:B95"/>
    <mergeCell ref="C95:I95"/>
    <mergeCell ref="A90:B90"/>
    <mergeCell ref="C90:I90"/>
    <mergeCell ref="A91:B91"/>
    <mergeCell ref="C91:I91"/>
    <mergeCell ref="A92:B92"/>
    <mergeCell ref="C92:I92"/>
    <mergeCell ref="D85:I85"/>
    <mergeCell ref="D86:I86"/>
    <mergeCell ref="A88:I88"/>
    <mergeCell ref="A89:B89"/>
    <mergeCell ref="C89:I89"/>
    <mergeCell ref="A23:O23"/>
    <mergeCell ref="A81:I81"/>
    <mergeCell ref="D82:I82"/>
    <mergeCell ref="D83:I83"/>
    <mergeCell ref="D84:I84"/>
    <mergeCell ref="A16:G16"/>
    <mergeCell ref="C17:G17"/>
    <mergeCell ref="C19:G19"/>
    <mergeCell ref="C20:G20"/>
    <mergeCell ref="C21:G21"/>
  </mergeCells>
  <pageMargins left="0.75" right="0.75" top="1" bottom="1" header="0.511811023622047" footer="0.511811023622047"/>
  <pageSetup paperSize="9" orientation="portrait" horizontalDpi="300" verticalDpi="300"/>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33"/>
  <sheetViews>
    <sheetView showGridLines="0" zoomScaleNormal="100" workbookViewId="0">
      <selection activeCell="A5" sqref="A5"/>
    </sheetView>
  </sheetViews>
  <sheetFormatPr defaultColWidth="8.6640625" defaultRowHeight="14.4" x14ac:dyDescent="0.3"/>
  <cols>
    <col min="1" max="1" width="65" customWidth="1"/>
    <col min="2" max="2" width="26" customWidth="1"/>
    <col min="3" max="3" width="21" customWidth="1"/>
    <col min="4" max="4" width="50" customWidth="1"/>
    <col min="5" max="5" width="15" customWidth="1"/>
    <col min="6" max="6" width="68" customWidth="1"/>
  </cols>
  <sheetData>
    <row r="1" spans="1:6" ht="21" customHeight="1" x14ac:dyDescent="0.3"/>
    <row r="2" spans="1:6" ht="14.25" customHeight="1" x14ac:dyDescent="0.3"/>
    <row r="4" spans="1:6" ht="15" customHeight="1" x14ac:dyDescent="0.3"/>
    <row r="5" spans="1:6" ht="19.5" customHeight="1" x14ac:dyDescent="0.3">
      <c r="A5" s="16" t="s">
        <v>0</v>
      </c>
    </row>
    <row r="6" spans="1:6" ht="24.75" customHeight="1" x14ac:dyDescent="0.3">
      <c r="A6" s="35" t="s">
        <v>107</v>
      </c>
    </row>
    <row r="7" spans="1:6" ht="18" customHeight="1" x14ac:dyDescent="0.3">
      <c r="A7" s="18" t="s">
        <v>108</v>
      </c>
    </row>
    <row r="8" spans="1:6" ht="14.25" customHeight="1" x14ac:dyDescent="0.3"/>
    <row r="9" spans="1:6" ht="21.75" customHeight="1" x14ac:dyDescent="0.3">
      <c r="A9" s="36" t="s">
        <v>109</v>
      </c>
      <c r="B9" s="20"/>
      <c r="C9" s="20"/>
      <c r="D9" s="20"/>
      <c r="E9" s="20"/>
      <c r="F9" s="20"/>
    </row>
    <row r="10" spans="1:6" ht="21.75" customHeight="1" x14ac:dyDescent="0.3">
      <c r="A10" s="37" t="s">
        <v>110</v>
      </c>
      <c r="B10" s="37" t="s">
        <v>111</v>
      </c>
      <c r="C10" s="37" t="s">
        <v>112</v>
      </c>
      <c r="D10" s="37" t="s">
        <v>7</v>
      </c>
      <c r="E10" s="37" t="s">
        <v>8</v>
      </c>
      <c r="F10" s="37" t="s">
        <v>113</v>
      </c>
    </row>
    <row r="11" spans="1:6" ht="21.75" customHeight="1" x14ac:dyDescent="0.3">
      <c r="A11" s="24" t="s">
        <v>114</v>
      </c>
      <c r="B11" s="38">
        <v>402500000</v>
      </c>
      <c r="C11" s="38">
        <v>119599000</v>
      </c>
      <c r="D11" s="27" t="s">
        <v>115</v>
      </c>
      <c r="E11" s="28" t="s">
        <v>13</v>
      </c>
      <c r="F11" s="26" t="s">
        <v>116</v>
      </c>
    </row>
    <row r="12" spans="1:6" ht="21.75" customHeight="1" x14ac:dyDescent="0.3">
      <c r="A12" s="24" t="s">
        <v>117</v>
      </c>
      <c r="B12" s="38">
        <v>165000000</v>
      </c>
      <c r="C12" s="38">
        <v>165000000</v>
      </c>
      <c r="D12" s="27" t="s">
        <v>118</v>
      </c>
      <c r="E12" s="28" t="s">
        <v>13</v>
      </c>
      <c r="F12" s="26" t="s">
        <v>119</v>
      </c>
    </row>
    <row r="13" spans="1:6" ht="21.75" customHeight="1" x14ac:dyDescent="0.3">
      <c r="A13" s="24" t="s">
        <v>120</v>
      </c>
      <c r="B13" s="38">
        <v>55000000</v>
      </c>
      <c r="C13" s="38">
        <v>55000000</v>
      </c>
      <c r="D13" s="27" t="s">
        <v>121</v>
      </c>
      <c r="E13" s="28" t="s">
        <v>13</v>
      </c>
      <c r="F13" s="26" t="s">
        <v>122</v>
      </c>
    </row>
    <row r="14" spans="1:6" ht="21.75" customHeight="1" x14ac:dyDescent="0.3">
      <c r="A14" s="24" t="s">
        <v>123</v>
      </c>
      <c r="B14" s="38">
        <v>1500000000</v>
      </c>
      <c r="C14" s="38">
        <v>1500000000</v>
      </c>
      <c r="D14" s="27" t="s">
        <v>124</v>
      </c>
      <c r="E14" s="28" t="s">
        <v>13</v>
      </c>
      <c r="F14" s="26" t="s">
        <v>125</v>
      </c>
    </row>
    <row r="15" spans="1:6" ht="21.75" customHeight="1" x14ac:dyDescent="0.3">
      <c r="A15" s="29" t="s">
        <v>126</v>
      </c>
      <c r="B15" s="39">
        <f>SUM(B11:B14)</f>
        <v>2122500000</v>
      </c>
      <c r="C15" s="39">
        <f>SUM(C11:C14)</f>
        <v>1839599000</v>
      </c>
      <c r="D15" s="32" t="s">
        <v>127</v>
      </c>
      <c r="E15" s="31" t="s">
        <v>13</v>
      </c>
      <c r="F15" s="31" t="s">
        <v>128</v>
      </c>
    </row>
    <row r="16" spans="1:6" ht="14.25" customHeight="1" x14ac:dyDescent="0.3"/>
    <row r="17" spans="1:6" ht="21.75" customHeight="1" x14ac:dyDescent="0.3">
      <c r="A17" s="24" t="s">
        <v>129</v>
      </c>
      <c r="B17" s="38">
        <v>1408356870</v>
      </c>
      <c r="C17" s="38">
        <v>1500000000</v>
      </c>
      <c r="D17" s="27" t="s">
        <v>130</v>
      </c>
      <c r="E17" s="28" t="s">
        <v>13</v>
      </c>
      <c r="F17" s="26" t="s">
        <v>131</v>
      </c>
    </row>
    <row r="18" spans="1:6" ht="21.75" customHeight="1" x14ac:dyDescent="0.3">
      <c r="A18" s="24" t="s">
        <v>132</v>
      </c>
      <c r="B18" s="38">
        <v>91600000</v>
      </c>
      <c r="C18" s="38">
        <v>0</v>
      </c>
      <c r="D18" s="27" t="s">
        <v>133</v>
      </c>
      <c r="E18" s="28" t="s">
        <v>13</v>
      </c>
      <c r="F18" s="26" t="s">
        <v>134</v>
      </c>
    </row>
    <row r="19" spans="1:6" ht="21.75" customHeight="1" x14ac:dyDescent="0.3">
      <c r="A19" s="24" t="s">
        <v>135</v>
      </c>
      <c r="B19" s="38">
        <v>0</v>
      </c>
      <c r="C19" s="38">
        <v>282901000</v>
      </c>
      <c r="D19" s="27" t="s">
        <v>136</v>
      </c>
      <c r="E19" s="28" t="s">
        <v>13</v>
      </c>
      <c r="F19" s="26" t="s">
        <v>137</v>
      </c>
    </row>
    <row r="20" spans="1:6" ht="21.75" customHeight="1" x14ac:dyDescent="0.3">
      <c r="A20" s="24" t="s">
        <v>138</v>
      </c>
      <c r="B20" s="38">
        <v>503125000</v>
      </c>
      <c r="C20" s="38">
        <v>220224000</v>
      </c>
      <c r="D20" s="27" t="s">
        <v>139</v>
      </c>
      <c r="E20" s="28" t="s">
        <v>13</v>
      </c>
      <c r="F20" s="26" t="s">
        <v>140</v>
      </c>
    </row>
    <row r="21" spans="1:6" ht="21.75" customHeight="1" x14ac:dyDescent="0.3">
      <c r="A21" s="29" t="s">
        <v>141</v>
      </c>
      <c r="B21" s="39">
        <f>SUM(B17:B20)</f>
        <v>2003081870</v>
      </c>
      <c r="C21" s="39">
        <f>SUM(C17:C20)</f>
        <v>2003125000</v>
      </c>
      <c r="D21" s="32" t="s">
        <v>142</v>
      </c>
      <c r="E21" s="31" t="s">
        <v>13</v>
      </c>
      <c r="F21" s="31" t="s">
        <v>143</v>
      </c>
    </row>
    <row r="22" spans="1:6" ht="14.25" customHeight="1" x14ac:dyDescent="0.3"/>
    <row r="23" spans="1:6" ht="14.25" customHeight="1" x14ac:dyDescent="0.3"/>
    <row r="24" spans="1:6" ht="21.75" customHeight="1" x14ac:dyDescent="0.3">
      <c r="A24" s="36" t="s">
        <v>144</v>
      </c>
      <c r="B24" s="20"/>
      <c r="C24" s="20"/>
      <c r="D24" s="20"/>
      <c r="E24" s="20"/>
      <c r="F24" s="20"/>
    </row>
    <row r="25" spans="1:6" ht="21.75" customHeight="1" x14ac:dyDescent="0.3">
      <c r="A25" s="37" t="s">
        <v>145</v>
      </c>
      <c r="B25" s="37" t="s">
        <v>146</v>
      </c>
      <c r="C25" s="37" t="s">
        <v>147</v>
      </c>
      <c r="D25" s="37" t="s">
        <v>7</v>
      </c>
      <c r="E25" s="37" t="s">
        <v>8</v>
      </c>
      <c r="F25" s="37" t="s">
        <v>148</v>
      </c>
    </row>
    <row r="26" spans="1:6" ht="21.75" customHeight="1" x14ac:dyDescent="0.3">
      <c r="A26" s="24" t="s">
        <v>149</v>
      </c>
      <c r="B26" s="25" t="s">
        <v>45</v>
      </c>
      <c r="C26" s="26" t="s">
        <v>150</v>
      </c>
      <c r="D26" s="27" t="s">
        <v>47</v>
      </c>
      <c r="E26" s="28" t="s">
        <v>13</v>
      </c>
      <c r="F26" s="26" t="s">
        <v>151</v>
      </c>
    </row>
    <row r="27" spans="1:6" ht="21.75" customHeight="1" x14ac:dyDescent="0.3">
      <c r="A27" s="24" t="s">
        <v>48</v>
      </c>
      <c r="B27" s="25" t="s">
        <v>49</v>
      </c>
      <c r="C27" s="26" t="s">
        <v>150</v>
      </c>
      <c r="D27" s="27" t="s">
        <v>152</v>
      </c>
      <c r="E27" s="28" t="s">
        <v>13</v>
      </c>
      <c r="F27" s="26" t="s">
        <v>153</v>
      </c>
    </row>
    <row r="28" spans="1:6" ht="21.75" customHeight="1" x14ac:dyDescent="0.3">
      <c r="A28" s="24" t="s">
        <v>154</v>
      </c>
      <c r="B28" s="25" t="s">
        <v>155</v>
      </c>
      <c r="C28" s="26" t="s">
        <v>156</v>
      </c>
      <c r="D28" s="27" t="s">
        <v>136</v>
      </c>
      <c r="E28" s="28" t="s">
        <v>13</v>
      </c>
      <c r="F28" s="26" t="s">
        <v>157</v>
      </c>
    </row>
    <row r="29" spans="1:6" ht="21.75" customHeight="1" x14ac:dyDescent="0.3">
      <c r="A29" s="24" t="s">
        <v>158</v>
      </c>
      <c r="B29" s="25" t="s">
        <v>159</v>
      </c>
      <c r="C29" s="26" t="s">
        <v>150</v>
      </c>
      <c r="D29" s="27" t="s">
        <v>136</v>
      </c>
      <c r="E29" s="28" t="s">
        <v>13</v>
      </c>
      <c r="F29" s="26" t="s">
        <v>160</v>
      </c>
    </row>
    <row r="30" spans="1:6" ht="21.75" customHeight="1" x14ac:dyDescent="0.3">
      <c r="A30" s="24" t="s">
        <v>161</v>
      </c>
      <c r="B30" s="25" t="s">
        <v>162</v>
      </c>
      <c r="C30" s="26" t="s">
        <v>150</v>
      </c>
      <c r="D30" s="27" t="s">
        <v>163</v>
      </c>
      <c r="E30" s="28" t="s">
        <v>13</v>
      </c>
      <c r="F30" s="26" t="s">
        <v>164</v>
      </c>
    </row>
    <row r="31" spans="1:6" ht="21.75" customHeight="1" x14ac:dyDescent="0.3">
      <c r="A31" s="24" t="s">
        <v>52</v>
      </c>
      <c r="B31" s="25" t="s">
        <v>53</v>
      </c>
      <c r="C31" s="26" t="s">
        <v>165</v>
      </c>
      <c r="D31" s="27" t="s">
        <v>55</v>
      </c>
      <c r="E31" s="28" t="s">
        <v>13</v>
      </c>
      <c r="F31" s="26" t="s">
        <v>166</v>
      </c>
    </row>
    <row r="32" spans="1:6" ht="21.75" customHeight="1" x14ac:dyDescent="0.3">
      <c r="A32" s="24" t="s">
        <v>56</v>
      </c>
      <c r="B32" s="25" t="s">
        <v>167</v>
      </c>
      <c r="C32" s="26" t="s">
        <v>168</v>
      </c>
      <c r="D32" s="27" t="s">
        <v>169</v>
      </c>
      <c r="E32" s="28" t="s">
        <v>13</v>
      </c>
      <c r="F32" s="26" t="s">
        <v>170</v>
      </c>
    </row>
    <row r="33" spans="1:6" ht="21.75" customHeight="1" x14ac:dyDescent="0.3">
      <c r="A33" s="24" t="s">
        <v>171</v>
      </c>
      <c r="B33" s="25" t="s">
        <v>172</v>
      </c>
      <c r="C33" s="26" t="s">
        <v>150</v>
      </c>
      <c r="D33" s="27" t="s">
        <v>173</v>
      </c>
      <c r="E33" s="28" t="s">
        <v>13</v>
      </c>
      <c r="F33" s="26" t="s">
        <v>174</v>
      </c>
    </row>
  </sheetData>
  <pageMargins left="0.75" right="0.75" top="1" bottom="1" header="0.511811023622047" footer="0.511811023622047"/>
  <pageSetup paperSize="9" orientation="portrait" horizontalDpi="300" verticalDpi="300"/>
  <drawing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37"/>
  <sheetViews>
    <sheetView showGridLines="0" zoomScaleNormal="100" workbookViewId="0"/>
  </sheetViews>
  <sheetFormatPr defaultColWidth="8.6640625" defaultRowHeight="14.4" x14ac:dyDescent="0.3"/>
  <cols>
    <col min="1" max="1" width="64" customWidth="1"/>
    <col min="2" max="2" width="31" customWidth="1"/>
    <col min="3" max="3" width="43" customWidth="1"/>
    <col min="4" max="4" width="52" customWidth="1"/>
    <col min="5" max="5" width="29" customWidth="1"/>
    <col min="6" max="6" width="70" customWidth="1"/>
    <col min="7" max="7" width="15" customWidth="1"/>
  </cols>
  <sheetData>
    <row r="1" spans="1:7" ht="21" customHeight="1" x14ac:dyDescent="0.3"/>
    <row r="2" spans="1:7" ht="14.25" customHeight="1" x14ac:dyDescent="0.3"/>
    <row r="4" spans="1:7" ht="15" customHeight="1" x14ac:dyDescent="0.3"/>
    <row r="5" spans="1:7" ht="19.5" customHeight="1" x14ac:dyDescent="0.3">
      <c r="A5" s="16" t="s">
        <v>0</v>
      </c>
    </row>
    <row r="6" spans="1:7" ht="24.75" customHeight="1" x14ac:dyDescent="0.3">
      <c r="A6" s="35" t="s">
        <v>175</v>
      </c>
    </row>
    <row r="7" spans="1:7" ht="18" customHeight="1" x14ac:dyDescent="0.3">
      <c r="A7" s="18" t="s">
        <v>176</v>
      </c>
    </row>
    <row r="8" spans="1:7" ht="14.25" customHeight="1" x14ac:dyDescent="0.3"/>
    <row r="9" spans="1:7" ht="21.75" customHeight="1" x14ac:dyDescent="0.3">
      <c r="A9" s="36" t="s">
        <v>177</v>
      </c>
      <c r="B9" s="20"/>
      <c r="C9" s="20"/>
      <c r="D9" s="20"/>
      <c r="E9" s="20"/>
      <c r="F9" s="20"/>
      <c r="G9" s="20"/>
    </row>
    <row r="10" spans="1:7" ht="21.75" customHeight="1" x14ac:dyDescent="0.3">
      <c r="A10" s="37" t="s">
        <v>178</v>
      </c>
      <c r="B10" s="37" t="s">
        <v>179</v>
      </c>
      <c r="C10" s="37" t="s">
        <v>180</v>
      </c>
      <c r="D10" s="37" t="s">
        <v>181</v>
      </c>
      <c r="E10" s="37" t="s">
        <v>182</v>
      </c>
      <c r="F10" s="37" t="s">
        <v>7</v>
      </c>
      <c r="G10" s="37" t="s">
        <v>8</v>
      </c>
    </row>
    <row r="11" spans="1:7" ht="21.75" customHeight="1" x14ac:dyDescent="0.3">
      <c r="A11" s="24" t="s">
        <v>183</v>
      </c>
      <c r="B11" s="40">
        <v>140835687</v>
      </c>
      <c r="C11" s="41">
        <f>B11/$B$16</f>
        <v>0.65999679429683822</v>
      </c>
      <c r="D11" s="40">
        <v>150000000</v>
      </c>
      <c r="E11" s="41">
        <f>D11/$D$16</f>
        <v>0.77215047211287458</v>
      </c>
      <c r="F11" s="27" t="s">
        <v>184</v>
      </c>
      <c r="G11" s="28" t="s">
        <v>13</v>
      </c>
    </row>
    <row r="12" spans="1:7" ht="21.75" customHeight="1" x14ac:dyDescent="0.3">
      <c r="A12" s="24" t="s">
        <v>185</v>
      </c>
      <c r="B12" s="40">
        <v>10062500</v>
      </c>
      <c r="C12" s="41">
        <f>B12/$B$16</f>
        <v>4.7155787599572931E-2</v>
      </c>
      <c r="D12" s="40">
        <v>10062500</v>
      </c>
      <c r="E12" s="41">
        <f>D12/$D$16</f>
        <v>5.1798427504238666E-2</v>
      </c>
      <c r="F12" s="27" t="s">
        <v>186</v>
      </c>
      <c r="G12" s="28" t="s">
        <v>13</v>
      </c>
    </row>
    <row r="13" spans="1:7" ht="21.75" customHeight="1" x14ac:dyDescent="0.3">
      <c r="A13" s="24" t="s">
        <v>187</v>
      </c>
      <c r="B13" s="40">
        <v>16500000</v>
      </c>
      <c r="C13" s="41">
        <f>B13/$B$16</f>
        <v>7.7323775939672379E-2</v>
      </c>
      <c r="D13" s="40">
        <v>16500000</v>
      </c>
      <c r="E13" s="41">
        <f>D13/$D$16</f>
        <v>8.4936551932416199E-2</v>
      </c>
      <c r="F13" s="27" t="s">
        <v>188</v>
      </c>
      <c r="G13" s="28" t="s">
        <v>13</v>
      </c>
    </row>
    <row r="14" spans="1:7" ht="21.75" customHeight="1" x14ac:dyDescent="0.3">
      <c r="A14" s="24" t="s">
        <v>189</v>
      </c>
      <c r="B14" s="40">
        <v>5740254</v>
      </c>
      <c r="C14" s="41">
        <f>B14/$B$16</f>
        <v>2.6900491765624736E-2</v>
      </c>
      <c r="D14" s="40">
        <v>5740254</v>
      </c>
      <c r="E14" s="41">
        <f>D14/$D$16</f>
        <v>2.9548932240985443E-2</v>
      </c>
      <c r="F14" s="27" t="s">
        <v>190</v>
      </c>
      <c r="G14" s="28" t="s">
        <v>13</v>
      </c>
    </row>
    <row r="15" spans="1:7" ht="21.75" customHeight="1" x14ac:dyDescent="0.3">
      <c r="A15" s="24" t="s">
        <v>191</v>
      </c>
      <c r="B15" s="40">
        <v>40250000</v>
      </c>
      <c r="C15" s="41">
        <f>B15/$B$16</f>
        <v>0.18862315039829172</v>
      </c>
      <c r="D15" s="40">
        <v>11959900</v>
      </c>
      <c r="E15" s="41">
        <f>D15/$D$16</f>
        <v>6.156561620948512E-2</v>
      </c>
      <c r="F15" s="27" t="s">
        <v>192</v>
      </c>
      <c r="G15" s="28" t="s">
        <v>13</v>
      </c>
    </row>
    <row r="16" spans="1:7" ht="21.75" customHeight="1" x14ac:dyDescent="0.3">
      <c r="A16" s="29" t="s">
        <v>193</v>
      </c>
      <c r="B16" s="42">
        <f>SUM(B11:B15)</f>
        <v>213388441</v>
      </c>
      <c r="C16" s="43">
        <f>SUM(C11:C15)</f>
        <v>1</v>
      </c>
      <c r="D16" s="42">
        <f>SUM(D11:D15)</f>
        <v>194262654</v>
      </c>
      <c r="E16" s="43">
        <f>SUM(E11:E15)</f>
        <v>1</v>
      </c>
      <c r="F16" s="32" t="s">
        <v>194</v>
      </c>
      <c r="G16" s="31" t="s">
        <v>13</v>
      </c>
    </row>
    <row r="17" spans="1:7" ht="14.25" customHeight="1" x14ac:dyDescent="0.3"/>
    <row r="18" spans="1:7" ht="14.25" customHeight="1" x14ac:dyDescent="0.3"/>
    <row r="19" spans="1:7" ht="21.75" customHeight="1" x14ac:dyDescent="0.3">
      <c r="A19" s="36" t="s">
        <v>195</v>
      </c>
      <c r="B19" s="20"/>
      <c r="C19" s="20"/>
      <c r="D19" s="20"/>
      <c r="E19" s="20"/>
      <c r="F19" s="20"/>
      <c r="G19" s="20"/>
    </row>
    <row r="20" spans="1:7" ht="21.75" customHeight="1" x14ac:dyDescent="0.3">
      <c r="A20" s="37" t="s">
        <v>196</v>
      </c>
      <c r="B20" s="37" t="s">
        <v>197</v>
      </c>
      <c r="C20" s="37" t="s">
        <v>198</v>
      </c>
      <c r="D20" s="37" t="s">
        <v>7</v>
      </c>
      <c r="E20" s="37" t="s">
        <v>8</v>
      </c>
      <c r="F20" s="37" t="s">
        <v>199</v>
      </c>
      <c r="G20" s="20"/>
    </row>
    <row r="21" spans="1:7" ht="21.75" customHeight="1" x14ac:dyDescent="0.3">
      <c r="A21" s="24" t="s">
        <v>200</v>
      </c>
      <c r="B21" s="25" t="s">
        <v>201</v>
      </c>
      <c r="C21" s="25" t="s">
        <v>202</v>
      </c>
      <c r="D21" s="27" t="s">
        <v>203</v>
      </c>
      <c r="E21" s="28" t="s">
        <v>13</v>
      </c>
      <c r="F21" s="26" t="s">
        <v>204</v>
      </c>
      <c r="G21" s="20"/>
    </row>
    <row r="22" spans="1:7" ht="21.75" customHeight="1" x14ac:dyDescent="0.3">
      <c r="A22" s="24" t="s">
        <v>205</v>
      </c>
      <c r="B22" s="25" t="s">
        <v>206</v>
      </c>
      <c r="C22" s="25" t="s">
        <v>207</v>
      </c>
      <c r="D22" s="27" t="s">
        <v>208</v>
      </c>
      <c r="E22" s="28" t="s">
        <v>13</v>
      </c>
      <c r="F22" s="26" t="s">
        <v>209</v>
      </c>
      <c r="G22" s="20"/>
    </row>
    <row r="23" spans="1:7" ht="21.75" customHeight="1" x14ac:dyDescent="0.3">
      <c r="A23" s="24" t="s">
        <v>210</v>
      </c>
      <c r="B23" s="25" t="s">
        <v>211</v>
      </c>
      <c r="C23" s="25" t="s">
        <v>212</v>
      </c>
      <c r="D23" s="27" t="s">
        <v>213</v>
      </c>
      <c r="E23" s="28" t="s">
        <v>13</v>
      </c>
      <c r="F23" s="26" t="s">
        <v>214</v>
      </c>
      <c r="G23" s="20"/>
    </row>
    <row r="24" spans="1:7" ht="14.25" customHeight="1" x14ac:dyDescent="0.3"/>
    <row r="25" spans="1:7" ht="21.75" customHeight="1" x14ac:dyDescent="0.3">
      <c r="A25" s="36" t="s">
        <v>215</v>
      </c>
      <c r="B25" s="20"/>
      <c r="C25" s="20"/>
      <c r="D25" s="20"/>
      <c r="E25" s="20"/>
      <c r="F25" s="20"/>
      <c r="G25" s="20"/>
    </row>
    <row r="26" spans="1:7" ht="21.75" customHeight="1" x14ac:dyDescent="0.3">
      <c r="A26" s="37" t="s">
        <v>216</v>
      </c>
      <c r="B26" s="37" t="s">
        <v>217</v>
      </c>
      <c r="C26" s="37" t="s">
        <v>218</v>
      </c>
      <c r="D26" s="37" t="s">
        <v>7</v>
      </c>
      <c r="E26" s="37" t="s">
        <v>8</v>
      </c>
      <c r="F26" s="37" t="s">
        <v>219</v>
      </c>
      <c r="G26" s="20"/>
    </row>
    <row r="27" spans="1:7" ht="21.75" customHeight="1" x14ac:dyDescent="0.3">
      <c r="A27" s="24" t="s">
        <v>220</v>
      </c>
      <c r="B27" s="40">
        <v>13416625</v>
      </c>
      <c r="C27" s="44">
        <v>11.5</v>
      </c>
      <c r="D27" s="27" t="s">
        <v>221</v>
      </c>
      <c r="E27" s="28" t="s">
        <v>13</v>
      </c>
      <c r="F27" s="26" t="s">
        <v>222</v>
      </c>
      <c r="G27" s="20"/>
    </row>
    <row r="28" spans="1:7" ht="21.75" customHeight="1" x14ac:dyDescent="0.3">
      <c r="A28" s="24" t="s">
        <v>223</v>
      </c>
      <c r="B28" s="40">
        <v>3350000</v>
      </c>
      <c r="C28" s="44">
        <v>11.5</v>
      </c>
      <c r="D28" s="27" t="s">
        <v>224</v>
      </c>
      <c r="E28" s="28" t="s">
        <v>13</v>
      </c>
      <c r="F28" s="26" t="s">
        <v>225</v>
      </c>
      <c r="G28" s="20"/>
    </row>
    <row r="29" spans="1:7" ht="21.75" customHeight="1" x14ac:dyDescent="0.3">
      <c r="A29" s="24" t="s">
        <v>226</v>
      </c>
      <c r="B29" s="40">
        <v>720365</v>
      </c>
      <c r="C29" s="25" t="s">
        <v>227</v>
      </c>
      <c r="D29" s="27" t="s">
        <v>228</v>
      </c>
      <c r="E29" s="28" t="s">
        <v>13</v>
      </c>
      <c r="F29" s="26" t="s">
        <v>229</v>
      </c>
      <c r="G29" s="20"/>
    </row>
    <row r="30" spans="1:7" ht="21.75" customHeight="1" x14ac:dyDescent="0.3">
      <c r="A30" s="29" t="s">
        <v>230</v>
      </c>
      <c r="B30" s="42">
        <f>SUM(B27:B29)</f>
        <v>17486990</v>
      </c>
      <c r="C30" s="45"/>
      <c r="D30" s="32" t="s">
        <v>231</v>
      </c>
      <c r="E30" s="31" t="s">
        <v>13</v>
      </c>
      <c r="F30" s="31" t="s">
        <v>232</v>
      </c>
      <c r="G30" s="45"/>
    </row>
    <row r="31" spans="1:7" ht="14.25" customHeight="1" x14ac:dyDescent="0.3"/>
    <row r="32" spans="1:7" ht="21.75" customHeight="1" x14ac:dyDescent="0.3">
      <c r="A32" s="36" t="s">
        <v>233</v>
      </c>
      <c r="B32" s="20"/>
      <c r="C32" s="20"/>
      <c r="D32" s="20"/>
      <c r="E32" s="20"/>
      <c r="F32" s="20"/>
      <c r="G32" s="20"/>
    </row>
    <row r="33" spans="1:7" ht="21.75" customHeight="1" x14ac:dyDescent="0.3">
      <c r="A33" s="37" t="s">
        <v>234</v>
      </c>
      <c r="B33" s="37" t="s">
        <v>235</v>
      </c>
      <c r="C33" s="37" t="s">
        <v>236</v>
      </c>
      <c r="D33" s="37" t="s">
        <v>237</v>
      </c>
      <c r="E33" s="37" t="s">
        <v>238</v>
      </c>
      <c r="F33" s="37" t="s">
        <v>7</v>
      </c>
      <c r="G33" s="37" t="s">
        <v>8</v>
      </c>
    </row>
    <row r="34" spans="1:7" ht="21.75" customHeight="1" x14ac:dyDescent="0.3">
      <c r="A34" s="24" t="s">
        <v>239</v>
      </c>
      <c r="B34" s="40">
        <v>179456611</v>
      </c>
      <c r="C34" s="44">
        <v>9.92</v>
      </c>
      <c r="D34" s="38">
        <v>1780209581</v>
      </c>
      <c r="E34" s="38">
        <v>194221</v>
      </c>
      <c r="F34" s="27" t="s">
        <v>240</v>
      </c>
      <c r="G34" s="28" t="s">
        <v>13</v>
      </c>
    </row>
    <row r="35" spans="1:7" ht="21.75" customHeight="1" x14ac:dyDescent="0.3">
      <c r="A35" s="24" t="s">
        <v>241</v>
      </c>
      <c r="B35" s="40">
        <v>16766625</v>
      </c>
      <c r="C35" s="44">
        <v>11.5</v>
      </c>
      <c r="D35" s="38">
        <v>192816188</v>
      </c>
      <c r="E35" s="38">
        <v>21037</v>
      </c>
      <c r="F35" s="27" t="s">
        <v>242</v>
      </c>
      <c r="G35" s="28" t="s">
        <v>13</v>
      </c>
    </row>
    <row r="36" spans="1:7" ht="21.75" customHeight="1" x14ac:dyDescent="0.3">
      <c r="A36" s="24" t="s">
        <v>243</v>
      </c>
      <c r="B36" s="40">
        <v>17486990</v>
      </c>
      <c r="C36" s="44">
        <v>0</v>
      </c>
      <c r="D36" s="38">
        <v>0</v>
      </c>
      <c r="E36" s="38">
        <v>0</v>
      </c>
      <c r="F36" s="27" t="s">
        <v>244</v>
      </c>
      <c r="G36" s="28" t="s">
        <v>13</v>
      </c>
    </row>
    <row r="37" spans="1:7" ht="21.75" customHeight="1" x14ac:dyDescent="0.3">
      <c r="A37" s="29" t="s">
        <v>245</v>
      </c>
      <c r="B37" s="42">
        <f>SUM(B34:B36)</f>
        <v>213710226</v>
      </c>
      <c r="C37" s="45"/>
      <c r="D37" s="39">
        <f>SUM(D34:D36)</f>
        <v>1973025769</v>
      </c>
      <c r="E37" s="39">
        <f>SUM(E34:E36)</f>
        <v>215258</v>
      </c>
      <c r="F37" s="32" t="s">
        <v>246</v>
      </c>
      <c r="G37" s="31" t="s">
        <v>13</v>
      </c>
    </row>
  </sheetData>
  <pageMargins left="0.75" right="0.75" top="1" bottom="1" header="0.511811023622047" footer="0.511811023622047"/>
  <pageSetup paperSize="9" orientation="portrait" horizontalDpi="300" verticalDpi="300"/>
  <drawing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27"/>
  <sheetViews>
    <sheetView showGridLines="0" zoomScaleNormal="100" workbookViewId="0"/>
  </sheetViews>
  <sheetFormatPr defaultColWidth="8.6640625" defaultRowHeight="14.4" x14ac:dyDescent="0.3"/>
  <cols>
    <col min="1" max="1" width="70" customWidth="1"/>
    <col min="2" max="3" width="32" customWidth="1"/>
    <col min="4" max="5" width="26" customWidth="1"/>
    <col min="6" max="6" width="45" customWidth="1"/>
    <col min="7" max="7" width="15" customWidth="1"/>
  </cols>
  <sheetData>
    <row r="1" spans="1:7" ht="21" customHeight="1" x14ac:dyDescent="0.3"/>
    <row r="2" spans="1:7" ht="14.25" customHeight="1" x14ac:dyDescent="0.3"/>
    <row r="4" spans="1:7" ht="14.25" customHeight="1" x14ac:dyDescent="0.3"/>
    <row r="5" spans="1:7" ht="19.5" customHeight="1" x14ac:dyDescent="0.3">
      <c r="A5" s="16" t="s">
        <v>0</v>
      </c>
    </row>
    <row r="6" spans="1:7" ht="24.75" customHeight="1" x14ac:dyDescent="0.3">
      <c r="A6" s="35" t="s">
        <v>247</v>
      </c>
    </row>
    <row r="7" spans="1:7" ht="18" customHeight="1" x14ac:dyDescent="0.3">
      <c r="A7" s="18" t="s">
        <v>248</v>
      </c>
    </row>
    <row r="8" spans="1:7" ht="14.25" customHeight="1" x14ac:dyDescent="0.3"/>
    <row r="9" spans="1:7" ht="21.75" customHeight="1" x14ac:dyDescent="0.3">
      <c r="A9" s="37" t="s">
        <v>249</v>
      </c>
      <c r="B9" s="37" t="s">
        <v>250</v>
      </c>
      <c r="C9" s="37" t="s">
        <v>251</v>
      </c>
      <c r="D9" s="37" t="s">
        <v>252</v>
      </c>
      <c r="E9" s="37" t="s">
        <v>253</v>
      </c>
      <c r="F9" s="37" t="s">
        <v>7</v>
      </c>
      <c r="G9" s="37" t="s">
        <v>8</v>
      </c>
    </row>
    <row r="10" spans="1:7" ht="14.25" customHeight="1" x14ac:dyDescent="0.3"/>
    <row r="11" spans="1:7" ht="21.75" customHeight="1" x14ac:dyDescent="0.3">
      <c r="A11" s="24" t="s">
        <v>254</v>
      </c>
      <c r="B11" s="38">
        <v>47220</v>
      </c>
      <c r="C11" s="38">
        <v>28937</v>
      </c>
      <c r="D11" s="38">
        <v>63480</v>
      </c>
      <c r="E11" s="38">
        <v>39646</v>
      </c>
      <c r="F11" s="27" t="s">
        <v>255</v>
      </c>
      <c r="G11" s="28" t="s">
        <v>13</v>
      </c>
    </row>
    <row r="12" spans="1:7" ht="21.75" customHeight="1" x14ac:dyDescent="0.3">
      <c r="A12" s="24" t="s">
        <v>256</v>
      </c>
      <c r="B12" s="38">
        <v>8335</v>
      </c>
      <c r="C12" s="38">
        <v>8213</v>
      </c>
      <c r="D12" s="38">
        <v>16131</v>
      </c>
      <c r="E12" s="38">
        <v>11427</v>
      </c>
      <c r="F12" s="27" t="s">
        <v>257</v>
      </c>
      <c r="G12" s="28" t="s">
        <v>13</v>
      </c>
    </row>
    <row r="13" spans="1:7" ht="21.75" customHeight="1" x14ac:dyDescent="0.3">
      <c r="A13" s="24" t="s">
        <v>258</v>
      </c>
      <c r="B13" s="38">
        <v>47365</v>
      </c>
      <c r="C13" s="38">
        <v>40889</v>
      </c>
      <c r="D13" s="38">
        <v>68559</v>
      </c>
      <c r="E13" s="38">
        <v>76910</v>
      </c>
      <c r="F13" s="27" t="s">
        <v>259</v>
      </c>
      <c r="G13" s="28" t="s">
        <v>13</v>
      </c>
    </row>
    <row r="14" spans="1:7" ht="21.75" customHeight="1" x14ac:dyDescent="0.3">
      <c r="A14" s="24" t="s">
        <v>260</v>
      </c>
      <c r="B14" s="38">
        <v>17361</v>
      </c>
      <c r="C14" s="38">
        <v>17742</v>
      </c>
      <c r="D14" s="38">
        <v>33741</v>
      </c>
      <c r="E14" s="38">
        <v>26289</v>
      </c>
      <c r="F14" s="27" t="s">
        <v>261</v>
      </c>
      <c r="G14" s="28" t="s">
        <v>13</v>
      </c>
    </row>
    <row r="15" spans="1:7" ht="21.75" customHeight="1" x14ac:dyDescent="0.3">
      <c r="A15" s="24" t="s">
        <v>262</v>
      </c>
      <c r="B15" s="38">
        <v>24651</v>
      </c>
      <c r="C15" s="38">
        <v>14467</v>
      </c>
      <c r="D15" s="38">
        <v>27409</v>
      </c>
      <c r="E15" s="38">
        <v>29734</v>
      </c>
      <c r="F15" s="27" t="s">
        <v>263</v>
      </c>
      <c r="G15" s="28" t="s">
        <v>13</v>
      </c>
    </row>
    <row r="16" spans="1:7" ht="21.75" customHeight="1" x14ac:dyDescent="0.3">
      <c r="A16" s="29" t="s">
        <v>264</v>
      </c>
      <c r="B16" s="39">
        <f>SUM(B12:B15)</f>
        <v>97712</v>
      </c>
      <c r="C16" s="39">
        <f>SUM(C12:C15)</f>
        <v>81311</v>
      </c>
      <c r="D16" s="39">
        <f>SUM(D12:D15)</f>
        <v>145840</v>
      </c>
      <c r="E16" s="39">
        <f>SUM(E12:E15)</f>
        <v>144360</v>
      </c>
      <c r="F16" s="32" t="s">
        <v>265</v>
      </c>
      <c r="G16" s="31" t="s">
        <v>13</v>
      </c>
    </row>
    <row r="17" spans="1:7" ht="21.75" customHeight="1" x14ac:dyDescent="0.3">
      <c r="A17" s="24" t="s">
        <v>266</v>
      </c>
      <c r="B17" s="46">
        <f>B11-B16</f>
        <v>-50492</v>
      </c>
      <c r="C17" s="46">
        <f>C11-C16</f>
        <v>-52374</v>
      </c>
      <c r="D17" s="46">
        <f>D11-D16</f>
        <v>-82360</v>
      </c>
      <c r="E17" s="46">
        <f>E11-E16</f>
        <v>-104714</v>
      </c>
      <c r="F17" s="27" t="s">
        <v>267</v>
      </c>
      <c r="G17" s="28" t="s">
        <v>13</v>
      </c>
    </row>
    <row r="18" spans="1:7" ht="21.75" customHeight="1" x14ac:dyDescent="0.3">
      <c r="A18" s="29" t="s">
        <v>268</v>
      </c>
      <c r="B18" s="47">
        <v>4473</v>
      </c>
      <c r="C18" s="47">
        <v>-1568</v>
      </c>
      <c r="D18" s="47">
        <v>-3106</v>
      </c>
      <c r="E18" s="47">
        <v>-4396</v>
      </c>
      <c r="F18" s="32" t="s">
        <v>269</v>
      </c>
      <c r="G18" s="31" t="s">
        <v>13</v>
      </c>
    </row>
    <row r="19" spans="1:7" ht="21.75" customHeight="1" x14ac:dyDescent="0.3">
      <c r="A19" s="24" t="s">
        <v>270</v>
      </c>
      <c r="B19" s="46">
        <f>B17+B18</f>
        <v>-46019</v>
      </c>
      <c r="C19" s="46">
        <f>C17+C18</f>
        <v>-53942</v>
      </c>
      <c r="D19" s="46">
        <f>D17+D18</f>
        <v>-85466</v>
      </c>
      <c r="E19" s="46">
        <f>E17+E18</f>
        <v>-109110</v>
      </c>
      <c r="F19" s="27" t="s">
        <v>271</v>
      </c>
      <c r="G19" s="28" t="s">
        <v>13</v>
      </c>
    </row>
    <row r="20" spans="1:7" ht="21.75" customHeight="1" x14ac:dyDescent="0.3">
      <c r="A20" s="24" t="s">
        <v>272</v>
      </c>
      <c r="B20" s="48">
        <v>-1647</v>
      </c>
      <c r="C20" s="48">
        <v>0</v>
      </c>
      <c r="D20" s="48">
        <v>6</v>
      </c>
      <c r="E20" s="48">
        <v>5</v>
      </c>
      <c r="F20" s="27" t="s">
        <v>273</v>
      </c>
      <c r="G20" s="28" t="s">
        <v>13</v>
      </c>
    </row>
    <row r="21" spans="1:7" ht="21.75" customHeight="1" x14ac:dyDescent="0.3">
      <c r="A21" s="24" t="s">
        <v>274</v>
      </c>
      <c r="B21" s="46">
        <f>B19-B20</f>
        <v>-44372</v>
      </c>
      <c r="C21" s="46">
        <f>C19-C20</f>
        <v>-53942</v>
      </c>
      <c r="D21" s="46">
        <f>D19-D20</f>
        <v>-85472</v>
      </c>
      <c r="E21" s="46">
        <f>E19-E20</f>
        <v>-109115</v>
      </c>
      <c r="F21" s="27" t="s">
        <v>275</v>
      </c>
      <c r="G21" s="28" t="s">
        <v>13</v>
      </c>
    </row>
    <row r="22" spans="1:7" ht="21.75" customHeight="1" x14ac:dyDescent="0.3">
      <c r="A22" s="24" t="s">
        <v>276</v>
      </c>
      <c r="B22" s="48">
        <v>-8001</v>
      </c>
      <c r="C22" s="48">
        <v>-7386</v>
      </c>
      <c r="D22" s="48">
        <v>-15331</v>
      </c>
      <c r="E22" s="48">
        <v>-11648</v>
      </c>
      <c r="F22" s="27" t="s">
        <v>277</v>
      </c>
      <c r="G22" s="28" t="s">
        <v>13</v>
      </c>
    </row>
    <row r="23" spans="1:7" ht="21.75" customHeight="1" x14ac:dyDescent="0.3">
      <c r="A23" s="24" t="s">
        <v>278</v>
      </c>
      <c r="B23" s="48">
        <v>-52373</v>
      </c>
      <c r="C23" s="48">
        <v>-61328</v>
      </c>
      <c r="D23" s="48">
        <v>-100803</v>
      </c>
      <c r="E23" s="48">
        <v>-120763</v>
      </c>
      <c r="F23" s="27" t="s">
        <v>279</v>
      </c>
      <c r="G23" s="28" t="s">
        <v>13</v>
      </c>
    </row>
    <row r="24" spans="1:7" ht="21.75" customHeight="1" x14ac:dyDescent="0.3">
      <c r="A24" s="24" t="s">
        <v>280</v>
      </c>
      <c r="B24" s="49">
        <v>-4.05</v>
      </c>
      <c r="C24" s="49">
        <v>-5.15</v>
      </c>
      <c r="D24" s="49">
        <v>-8.41</v>
      </c>
      <c r="E24" s="49">
        <v>-10.77</v>
      </c>
      <c r="F24" s="27" t="s">
        <v>281</v>
      </c>
      <c r="G24" s="28" t="s">
        <v>13</v>
      </c>
    </row>
    <row r="25" spans="1:7" ht="21.75" customHeight="1" x14ac:dyDescent="0.3">
      <c r="A25" s="24" t="s">
        <v>282</v>
      </c>
      <c r="B25" s="49">
        <v>12923000</v>
      </c>
      <c r="C25" s="49">
        <v>11897000</v>
      </c>
      <c r="D25" s="49">
        <v>11992000</v>
      </c>
      <c r="E25" s="49">
        <v>11216000</v>
      </c>
      <c r="F25" s="27" t="s">
        <v>283</v>
      </c>
      <c r="G25" s="28" t="s">
        <v>13</v>
      </c>
    </row>
    <row r="26" spans="1:7" ht="21.75" customHeight="1" x14ac:dyDescent="0.3">
      <c r="A26" s="24" t="s">
        <v>284</v>
      </c>
      <c r="B26" s="48">
        <v>0</v>
      </c>
      <c r="C26" s="48">
        <v>0</v>
      </c>
      <c r="D26" s="48">
        <v>0</v>
      </c>
      <c r="E26" s="48">
        <v>-272</v>
      </c>
      <c r="F26" s="27" t="s">
        <v>285</v>
      </c>
      <c r="G26" s="28" t="s">
        <v>13</v>
      </c>
    </row>
    <row r="27" spans="1:7" ht="21.75" customHeight="1" x14ac:dyDescent="0.3">
      <c r="A27" s="29" t="s">
        <v>286</v>
      </c>
      <c r="B27" s="47">
        <v>-44372</v>
      </c>
      <c r="C27" s="47">
        <v>-53942</v>
      </c>
      <c r="D27" s="47">
        <v>-85472</v>
      </c>
      <c r="E27" s="47">
        <v>-109387</v>
      </c>
      <c r="F27" s="32" t="s">
        <v>287</v>
      </c>
      <c r="G27" s="31" t="s">
        <v>13</v>
      </c>
    </row>
  </sheetData>
  <pageMargins left="0.75" right="0.75" top="1" bottom="1" header="0.511811023622047" footer="0.511811023622047"/>
  <pageSetup paperSize="9" orientation="portrait" horizontalDpi="300" verticalDpi="300"/>
  <drawing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30"/>
  <sheetViews>
    <sheetView showGridLines="0" zoomScaleNormal="100" workbookViewId="0">
      <selection activeCell="A4" sqref="A4"/>
    </sheetView>
  </sheetViews>
  <sheetFormatPr defaultColWidth="8.6640625" defaultRowHeight="14.4" x14ac:dyDescent="0.3"/>
  <cols>
    <col min="1" max="1" width="53" customWidth="1"/>
    <col min="2" max="4" width="19" customWidth="1"/>
    <col min="5" max="5" width="43" customWidth="1"/>
    <col min="6" max="6" width="15" customWidth="1"/>
  </cols>
  <sheetData>
    <row r="1" spans="1:6" ht="21" customHeight="1" x14ac:dyDescent="0.3"/>
    <row r="2" spans="1:6" ht="14.25" customHeight="1" x14ac:dyDescent="0.3"/>
    <row r="4" spans="1:6" ht="14.25" customHeight="1" x14ac:dyDescent="0.3"/>
    <row r="5" spans="1:6" ht="19.5" customHeight="1" x14ac:dyDescent="0.3">
      <c r="A5" s="16" t="s">
        <v>0</v>
      </c>
    </row>
    <row r="6" spans="1:6" ht="24.75" customHeight="1" x14ac:dyDescent="0.3">
      <c r="A6" s="35" t="s">
        <v>288</v>
      </c>
    </row>
    <row r="7" spans="1:6" ht="18" customHeight="1" x14ac:dyDescent="0.3">
      <c r="A7" s="18" t="s">
        <v>289</v>
      </c>
    </row>
    <row r="8" spans="1:6" ht="14.25" customHeight="1" x14ac:dyDescent="0.3"/>
    <row r="9" spans="1:6" ht="21.75" customHeight="1" x14ac:dyDescent="0.3">
      <c r="A9" s="37" t="s">
        <v>290</v>
      </c>
      <c r="B9" s="37" t="s">
        <v>291</v>
      </c>
      <c r="C9" s="37" t="s">
        <v>292</v>
      </c>
      <c r="D9" s="37" t="s">
        <v>293</v>
      </c>
      <c r="E9" s="37" t="s">
        <v>7</v>
      </c>
      <c r="F9" s="37" t="s">
        <v>8</v>
      </c>
    </row>
    <row r="10" spans="1:6" ht="14.25" customHeight="1" x14ac:dyDescent="0.3"/>
    <row r="11" spans="1:6" ht="21.75" customHeight="1" x14ac:dyDescent="0.3">
      <c r="A11" s="29" t="s">
        <v>294</v>
      </c>
      <c r="B11" s="50">
        <v>4.5999999999999996</v>
      </c>
      <c r="C11" s="50">
        <v>6.2</v>
      </c>
      <c r="D11" s="50">
        <v>8.1</v>
      </c>
      <c r="E11" s="32" t="s">
        <v>295</v>
      </c>
      <c r="F11" s="31" t="s">
        <v>13</v>
      </c>
    </row>
    <row r="12" spans="1:6" ht="21.75" customHeight="1" x14ac:dyDescent="0.3">
      <c r="A12" s="29" t="s">
        <v>296</v>
      </c>
      <c r="B12" s="51">
        <v>126</v>
      </c>
      <c r="C12" s="51">
        <v>207</v>
      </c>
      <c r="D12" s="51">
        <v>309</v>
      </c>
      <c r="E12" s="32" t="s">
        <v>297</v>
      </c>
      <c r="F12" s="31" t="s">
        <v>13</v>
      </c>
    </row>
    <row r="13" spans="1:6" ht="21.75" customHeight="1" x14ac:dyDescent="0.3">
      <c r="A13" s="24" t="s">
        <v>298</v>
      </c>
      <c r="B13" s="52">
        <v>0.77</v>
      </c>
      <c r="C13" s="52">
        <v>0.65</v>
      </c>
      <c r="D13" s="52">
        <v>0.49</v>
      </c>
      <c r="E13" s="27" t="s">
        <v>299</v>
      </c>
      <c r="F13" s="28" t="s">
        <v>13</v>
      </c>
    </row>
    <row r="14" spans="1:6" ht="21.75" customHeight="1" x14ac:dyDescent="0.3">
      <c r="A14" s="29" t="s">
        <v>300</v>
      </c>
      <c r="B14" s="53">
        <v>29.91</v>
      </c>
      <c r="C14" s="53">
        <v>37.03</v>
      </c>
      <c r="D14" s="53">
        <v>41.69</v>
      </c>
      <c r="E14" s="32" t="s">
        <v>301</v>
      </c>
      <c r="F14" s="31" t="s">
        <v>13</v>
      </c>
    </row>
    <row r="15" spans="1:6" ht="21.75" customHeight="1" x14ac:dyDescent="0.3">
      <c r="A15" s="24" t="s">
        <v>302</v>
      </c>
      <c r="B15" s="54">
        <v>-20</v>
      </c>
      <c r="C15" s="54">
        <v>-28</v>
      </c>
      <c r="D15" s="54">
        <v>-44</v>
      </c>
      <c r="E15" s="27" t="s">
        <v>303</v>
      </c>
      <c r="F15" s="28" t="s">
        <v>13</v>
      </c>
    </row>
    <row r="16" spans="1:6" ht="21.75" customHeight="1" x14ac:dyDescent="0.3">
      <c r="A16" s="24" t="s">
        <v>304</v>
      </c>
      <c r="B16" s="55">
        <f>B12+B15</f>
        <v>106</v>
      </c>
      <c r="C16" s="55">
        <f>C12+C15</f>
        <v>179</v>
      </c>
      <c r="D16" s="55">
        <f>D12+D15</f>
        <v>265</v>
      </c>
      <c r="E16" s="27" t="s">
        <v>305</v>
      </c>
      <c r="F16" s="28" t="s">
        <v>13</v>
      </c>
    </row>
    <row r="17" spans="1:6" ht="21.75" customHeight="1" x14ac:dyDescent="0.3">
      <c r="A17" s="24" t="s">
        <v>306</v>
      </c>
      <c r="B17" s="56">
        <f>B16/B12</f>
        <v>0.84126984126984128</v>
      </c>
      <c r="C17" s="56">
        <f>C16/C12</f>
        <v>0.86473429951690817</v>
      </c>
      <c r="D17" s="56">
        <f>D16/D12</f>
        <v>0.85760517799352753</v>
      </c>
      <c r="E17" s="27" t="s">
        <v>307</v>
      </c>
      <c r="F17" s="28" t="s">
        <v>13</v>
      </c>
    </row>
    <row r="18" spans="1:6" ht="21.75" customHeight="1" x14ac:dyDescent="0.3">
      <c r="A18" s="29" t="s">
        <v>308</v>
      </c>
      <c r="B18" s="57">
        <v>-190</v>
      </c>
      <c r="C18" s="57">
        <v>-261</v>
      </c>
      <c r="D18" s="57">
        <v>-300</v>
      </c>
      <c r="E18" s="32" t="s">
        <v>309</v>
      </c>
      <c r="F18" s="31" t="s">
        <v>13</v>
      </c>
    </row>
    <row r="19" spans="1:6" ht="21.75" customHeight="1" x14ac:dyDescent="0.3">
      <c r="A19" s="26" t="s">
        <v>310</v>
      </c>
      <c r="B19" s="41">
        <f>B18/B12</f>
        <v>-1.5079365079365079</v>
      </c>
      <c r="C19" s="41">
        <f>C18/C12</f>
        <v>-1.2608695652173914</v>
      </c>
      <c r="D19" s="41">
        <f>D18/D12</f>
        <v>-0.970873786407767</v>
      </c>
      <c r="E19" s="27" t="s">
        <v>311</v>
      </c>
      <c r="F19" s="28" t="s">
        <v>13</v>
      </c>
    </row>
    <row r="20" spans="1:6" ht="21.75" customHeight="1" x14ac:dyDescent="0.3">
      <c r="A20" s="24" t="s">
        <v>312</v>
      </c>
      <c r="B20" s="58">
        <f>B16+B18</f>
        <v>-84</v>
      </c>
      <c r="C20" s="58">
        <f>C16+C18</f>
        <v>-82</v>
      </c>
      <c r="D20" s="58">
        <f>D16+D18</f>
        <v>-35</v>
      </c>
      <c r="E20" s="27" t="s">
        <v>313</v>
      </c>
      <c r="F20" s="28" t="s">
        <v>13</v>
      </c>
    </row>
    <row r="21" spans="1:6" ht="21.75" customHeight="1" x14ac:dyDescent="0.3">
      <c r="A21" s="26" t="s">
        <v>314</v>
      </c>
      <c r="B21" s="41">
        <f>B20/B12</f>
        <v>-0.66666666666666663</v>
      </c>
      <c r="C21" s="41">
        <f>C20/C12</f>
        <v>-0.39613526570048307</v>
      </c>
      <c r="D21" s="41">
        <f>D20/D12</f>
        <v>-0.11326860841423948</v>
      </c>
      <c r="E21" s="27" t="s">
        <v>315</v>
      </c>
      <c r="F21" s="28" t="s">
        <v>13</v>
      </c>
    </row>
    <row r="22" spans="1:6" ht="21.75" customHeight="1" x14ac:dyDescent="0.3">
      <c r="A22" s="24" t="s">
        <v>316</v>
      </c>
      <c r="B22" s="54">
        <v>-68</v>
      </c>
      <c r="C22" s="54">
        <v>-71</v>
      </c>
      <c r="D22" s="54">
        <v>-31</v>
      </c>
      <c r="E22" s="27" t="s">
        <v>317</v>
      </c>
      <c r="F22" s="28" t="s">
        <v>13</v>
      </c>
    </row>
    <row r="23" spans="1:6" ht="21.75" customHeight="1" x14ac:dyDescent="0.3">
      <c r="A23" s="13" t="s">
        <v>318</v>
      </c>
      <c r="B23" s="13"/>
      <c r="C23" s="13"/>
      <c r="D23" s="13"/>
      <c r="E23" s="13"/>
      <c r="F23" s="13"/>
    </row>
    <row r="24" spans="1:6" ht="14.25" customHeight="1" x14ac:dyDescent="0.3">
      <c r="A24" s="13"/>
      <c r="B24" s="13"/>
      <c r="C24" s="13"/>
      <c r="D24" s="13"/>
      <c r="E24" s="13"/>
      <c r="F24" s="13"/>
    </row>
    <row r="25" spans="1:6" ht="14.25" customHeight="1" x14ac:dyDescent="0.3">
      <c r="A25" s="13"/>
      <c r="B25" s="13"/>
      <c r="C25" s="13"/>
      <c r="D25" s="13"/>
      <c r="E25" s="13"/>
      <c r="F25" s="13"/>
    </row>
    <row r="27" spans="1:6" ht="21.75" customHeight="1" x14ac:dyDescent="0.3">
      <c r="A27" s="59" t="s">
        <v>319</v>
      </c>
      <c r="B27" s="60"/>
      <c r="C27" s="60"/>
      <c r="D27" s="60"/>
      <c r="E27" s="60"/>
      <c r="F27" s="60"/>
    </row>
    <row r="28" spans="1:6" ht="21.75" customHeight="1" x14ac:dyDescent="0.3">
      <c r="A28" s="61" t="s">
        <v>320</v>
      </c>
      <c r="B28" s="45"/>
      <c r="C28" s="45"/>
      <c r="D28" s="45"/>
      <c r="E28" s="45"/>
      <c r="F28" s="45"/>
    </row>
    <row r="29" spans="1:6" x14ac:dyDescent="0.3">
      <c r="A29" s="62"/>
      <c r="F29" s="63"/>
    </row>
    <row r="30" spans="1:6" x14ac:dyDescent="0.3">
      <c r="A30" s="64"/>
      <c r="B30" s="65"/>
      <c r="C30" s="65"/>
      <c r="D30" s="65"/>
      <c r="E30" s="65"/>
      <c r="F30" s="66"/>
    </row>
  </sheetData>
  <mergeCells count="1">
    <mergeCell ref="A23:F25"/>
  </mergeCells>
  <pageMargins left="0.75" right="0.75" top="1" bottom="1" header="0.511811023622047" footer="0.511811023622047"/>
  <pageSetup paperSize="9" orientation="portrait" horizontalDpi="300" verticalDpi="300"/>
  <drawing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40"/>
  <sheetViews>
    <sheetView showGridLines="0" topLeftCell="A31" zoomScaleNormal="100" workbookViewId="0"/>
  </sheetViews>
  <sheetFormatPr defaultColWidth="8.6640625" defaultRowHeight="14.4" x14ac:dyDescent="0.3"/>
  <cols>
    <col min="1" max="1" width="70" customWidth="1"/>
    <col min="2" max="2" width="23" customWidth="1"/>
    <col min="3" max="3" width="18" customWidth="1"/>
    <col min="4" max="4" width="21" customWidth="1"/>
    <col min="5" max="6" width="27" customWidth="1"/>
    <col min="7" max="8" width="25" customWidth="1"/>
    <col min="9" max="9" width="31" customWidth="1"/>
    <col min="10" max="10" width="15" customWidth="1"/>
  </cols>
  <sheetData>
    <row r="1" spans="1:10" ht="21" customHeight="1" x14ac:dyDescent="0.3"/>
    <row r="2" spans="1:10" ht="14.25" customHeight="1" x14ac:dyDescent="0.3"/>
    <row r="4" spans="1:10" ht="15" customHeight="1" x14ac:dyDescent="0.3"/>
    <row r="5" spans="1:10" ht="19.5" customHeight="1" x14ac:dyDescent="0.3">
      <c r="A5" s="16" t="s">
        <v>0</v>
      </c>
    </row>
    <row r="6" spans="1:10" ht="24.75" customHeight="1" x14ac:dyDescent="0.3">
      <c r="A6" s="35" t="s">
        <v>321</v>
      </c>
    </row>
    <row r="7" spans="1:10" ht="18" customHeight="1" x14ac:dyDescent="0.3">
      <c r="A7" s="18" t="s">
        <v>322</v>
      </c>
    </row>
    <row r="8" spans="1:10" ht="14.25" customHeight="1" x14ac:dyDescent="0.3"/>
    <row r="9" spans="1:10" ht="21.75" customHeight="1" x14ac:dyDescent="0.3">
      <c r="A9" s="36" t="s">
        <v>323</v>
      </c>
      <c r="B9" s="20"/>
      <c r="C9" s="20"/>
      <c r="D9" s="20"/>
      <c r="E9" s="20"/>
      <c r="F9" s="20"/>
      <c r="G9" s="20"/>
      <c r="H9" s="20"/>
      <c r="I9" s="20"/>
      <c r="J9" s="20"/>
    </row>
    <row r="10" spans="1:10" ht="21.75" customHeight="1" x14ac:dyDescent="0.3">
      <c r="A10" s="37" t="s">
        <v>324</v>
      </c>
      <c r="B10" s="37" t="s">
        <v>325</v>
      </c>
      <c r="C10" s="37" t="s">
        <v>326</v>
      </c>
      <c r="D10" s="37" t="s">
        <v>327</v>
      </c>
      <c r="E10" s="37" t="s">
        <v>328</v>
      </c>
      <c r="F10" s="37" t="s">
        <v>329</v>
      </c>
      <c r="G10" s="37" t="s">
        <v>330</v>
      </c>
      <c r="H10" s="37" t="s">
        <v>331</v>
      </c>
      <c r="I10" s="37" t="s">
        <v>7</v>
      </c>
      <c r="J10" s="37" t="s">
        <v>8</v>
      </c>
    </row>
    <row r="11" spans="1:10" ht="21.75" customHeight="1" x14ac:dyDescent="0.3">
      <c r="A11" s="67" t="s">
        <v>332</v>
      </c>
      <c r="B11" s="68" t="s">
        <v>333</v>
      </c>
      <c r="C11" s="69">
        <v>1.6</v>
      </c>
      <c r="D11" s="69">
        <v>0.1</v>
      </c>
      <c r="E11" s="70">
        <v>0.77</v>
      </c>
      <c r="F11" s="70">
        <v>0.65</v>
      </c>
      <c r="G11" s="71">
        <v>12.7</v>
      </c>
      <c r="H11" s="71">
        <v>7.7</v>
      </c>
      <c r="I11" s="72" t="s">
        <v>334</v>
      </c>
      <c r="J11" s="73" t="s">
        <v>13</v>
      </c>
    </row>
    <row r="12" spans="1:10" ht="21.75" customHeight="1" x14ac:dyDescent="0.3">
      <c r="A12" s="24" t="s">
        <v>335</v>
      </c>
      <c r="B12" s="26" t="s">
        <v>336</v>
      </c>
      <c r="C12" s="74">
        <v>289.5</v>
      </c>
      <c r="D12" s="74">
        <v>25.8</v>
      </c>
      <c r="E12" s="52">
        <v>0.2</v>
      </c>
      <c r="F12" s="52">
        <v>0.22</v>
      </c>
      <c r="G12" s="75">
        <v>11.2</v>
      </c>
      <c r="H12" s="75">
        <v>9.1999999999999993</v>
      </c>
      <c r="I12" s="27" t="s">
        <v>337</v>
      </c>
      <c r="J12" s="28" t="s">
        <v>13</v>
      </c>
    </row>
    <row r="13" spans="1:10" ht="21.75" customHeight="1" x14ac:dyDescent="0.3">
      <c r="A13" s="24" t="s">
        <v>338</v>
      </c>
      <c r="B13" s="26" t="s">
        <v>336</v>
      </c>
      <c r="C13" s="74">
        <v>148.6</v>
      </c>
      <c r="D13" s="74">
        <v>4.4000000000000004</v>
      </c>
      <c r="E13" s="52">
        <v>0.51</v>
      </c>
      <c r="F13" s="52">
        <v>0.32</v>
      </c>
      <c r="G13" s="75">
        <v>33.6</v>
      </c>
      <c r="H13" s="75">
        <v>25.4</v>
      </c>
      <c r="I13" s="27" t="s">
        <v>339</v>
      </c>
      <c r="J13" s="28" t="s">
        <v>13</v>
      </c>
    </row>
    <row r="14" spans="1:10" ht="21.75" customHeight="1" x14ac:dyDescent="0.3">
      <c r="A14" s="24" t="s">
        <v>340</v>
      </c>
      <c r="B14" s="26" t="s">
        <v>336</v>
      </c>
      <c r="C14" s="74">
        <v>95.2</v>
      </c>
      <c r="D14" s="74">
        <v>4.4000000000000004</v>
      </c>
      <c r="E14" s="52">
        <v>0.41</v>
      </c>
      <c r="F14" s="52">
        <v>0.28999999999999998</v>
      </c>
      <c r="G14" s="75">
        <v>21.7</v>
      </c>
      <c r="H14" s="75">
        <v>16.899999999999999</v>
      </c>
      <c r="I14" s="27" t="s">
        <v>341</v>
      </c>
      <c r="J14" s="28" t="s">
        <v>13</v>
      </c>
    </row>
    <row r="15" spans="1:10" ht="21.75" customHeight="1" x14ac:dyDescent="0.3">
      <c r="A15" s="24" t="s">
        <v>342</v>
      </c>
      <c r="B15" s="26" t="s">
        <v>336</v>
      </c>
      <c r="C15" s="74">
        <v>65.7</v>
      </c>
      <c r="D15" s="74">
        <v>1.2</v>
      </c>
      <c r="E15" s="52">
        <v>0.4</v>
      </c>
      <c r="F15" s="52">
        <v>0.41</v>
      </c>
      <c r="G15" s="75">
        <v>56.3</v>
      </c>
      <c r="H15" s="75">
        <v>39.9</v>
      </c>
      <c r="I15" s="27" t="s">
        <v>343</v>
      </c>
      <c r="J15" s="28" t="s">
        <v>13</v>
      </c>
    </row>
    <row r="16" spans="1:10" ht="21.75" customHeight="1" x14ac:dyDescent="0.3">
      <c r="A16" s="24" t="s">
        <v>344</v>
      </c>
      <c r="B16" s="26" t="s">
        <v>336</v>
      </c>
      <c r="C16" s="74">
        <v>22.8</v>
      </c>
      <c r="D16" s="74">
        <v>2.1</v>
      </c>
      <c r="E16" s="52">
        <v>0.39</v>
      </c>
      <c r="F16" s="52">
        <v>0.35</v>
      </c>
      <c r="G16" s="75">
        <v>10.9</v>
      </c>
      <c r="H16" s="75">
        <v>8.1</v>
      </c>
      <c r="I16" s="27" t="s">
        <v>345</v>
      </c>
      <c r="J16" s="28" t="s">
        <v>13</v>
      </c>
    </row>
    <row r="17" spans="1:10" ht="21.75" customHeight="1" x14ac:dyDescent="0.3">
      <c r="A17" s="24" t="s">
        <v>346</v>
      </c>
      <c r="B17" s="26" t="s">
        <v>336</v>
      </c>
      <c r="C17" s="74">
        <v>20.3</v>
      </c>
      <c r="D17" s="74">
        <v>1.2</v>
      </c>
      <c r="E17" s="52">
        <v>0.64</v>
      </c>
      <c r="F17" s="52">
        <v>0.46</v>
      </c>
      <c r="G17" s="75">
        <v>17</v>
      </c>
      <c r="H17" s="75">
        <v>11.7</v>
      </c>
      <c r="I17" s="27" t="s">
        <v>347</v>
      </c>
      <c r="J17" s="28" t="s">
        <v>13</v>
      </c>
    </row>
    <row r="18" spans="1:10" ht="21.75" customHeight="1" x14ac:dyDescent="0.3">
      <c r="A18" s="24" t="s">
        <v>348</v>
      </c>
      <c r="B18" s="26" t="s">
        <v>336</v>
      </c>
      <c r="C18" s="74">
        <v>18.600000000000001</v>
      </c>
      <c r="D18" s="74">
        <v>1</v>
      </c>
      <c r="E18" s="52">
        <v>0.6</v>
      </c>
      <c r="F18" s="52">
        <v>0.31</v>
      </c>
      <c r="G18" s="75">
        <v>18.8</v>
      </c>
      <c r="H18" s="75">
        <v>14.4</v>
      </c>
      <c r="I18" s="27" t="s">
        <v>349</v>
      </c>
      <c r="J18" s="28" t="s">
        <v>13</v>
      </c>
    </row>
    <row r="19" spans="1:10" ht="21.75" customHeight="1" x14ac:dyDescent="0.3">
      <c r="A19" s="24" t="s">
        <v>350</v>
      </c>
      <c r="B19" s="26" t="s">
        <v>336</v>
      </c>
      <c r="C19" s="74">
        <v>15.1</v>
      </c>
      <c r="D19" s="74">
        <v>1</v>
      </c>
      <c r="E19" s="52">
        <v>0.57999999999999996</v>
      </c>
      <c r="F19" s="52">
        <v>0.53</v>
      </c>
      <c r="G19" s="75">
        <v>15.4</v>
      </c>
      <c r="H19" s="75">
        <v>10.1</v>
      </c>
      <c r="I19" s="27" t="s">
        <v>351</v>
      </c>
      <c r="J19" s="28" t="s">
        <v>13</v>
      </c>
    </row>
    <row r="20" spans="1:10" ht="21.75" customHeight="1" x14ac:dyDescent="0.3">
      <c r="A20" s="24" t="s">
        <v>352</v>
      </c>
      <c r="B20" s="26" t="s">
        <v>336</v>
      </c>
      <c r="C20" s="74">
        <v>10.5</v>
      </c>
      <c r="D20" s="74">
        <v>0.8</v>
      </c>
      <c r="E20" s="52">
        <v>0.48</v>
      </c>
      <c r="F20" s="52">
        <v>0.23</v>
      </c>
      <c r="G20" s="75">
        <v>13</v>
      </c>
      <c r="H20" s="75">
        <v>10.6</v>
      </c>
      <c r="I20" s="27" t="s">
        <v>353</v>
      </c>
      <c r="J20" s="28" t="s">
        <v>13</v>
      </c>
    </row>
    <row r="21" spans="1:10" ht="21.75" customHeight="1" x14ac:dyDescent="0.3">
      <c r="A21" s="24" t="s">
        <v>354</v>
      </c>
      <c r="B21" s="26" t="s">
        <v>336</v>
      </c>
      <c r="C21" s="74">
        <v>2.2999999999999998</v>
      </c>
      <c r="D21" s="74">
        <v>0.1</v>
      </c>
      <c r="E21" s="52">
        <v>0.89</v>
      </c>
      <c r="F21" s="52">
        <v>0.79</v>
      </c>
      <c r="G21" s="75">
        <v>16.2</v>
      </c>
      <c r="H21" s="75">
        <v>9</v>
      </c>
      <c r="I21" s="27" t="s">
        <v>355</v>
      </c>
      <c r="J21" s="28" t="s">
        <v>13</v>
      </c>
    </row>
    <row r="22" spans="1:10" ht="21.75" customHeight="1" x14ac:dyDescent="0.3">
      <c r="A22" s="24" t="s">
        <v>356</v>
      </c>
      <c r="B22" s="26" t="s">
        <v>357</v>
      </c>
      <c r="C22" s="74">
        <v>19.8</v>
      </c>
      <c r="D22" s="74">
        <v>0.7</v>
      </c>
      <c r="E22" s="52">
        <v>0.26</v>
      </c>
      <c r="F22" s="52">
        <v>0.25</v>
      </c>
      <c r="G22" s="75">
        <v>29.7</v>
      </c>
      <c r="H22" s="75">
        <v>23.7</v>
      </c>
      <c r="I22" s="27" t="s">
        <v>358</v>
      </c>
      <c r="J22" s="28" t="s">
        <v>13</v>
      </c>
    </row>
    <row r="23" spans="1:10" ht="21.75" customHeight="1" x14ac:dyDescent="0.3">
      <c r="A23" s="24" t="s">
        <v>359</v>
      </c>
      <c r="B23" s="26" t="s">
        <v>357</v>
      </c>
      <c r="C23" s="74">
        <v>10.9</v>
      </c>
      <c r="D23" s="74">
        <v>0.7</v>
      </c>
      <c r="E23" s="52">
        <v>0.3</v>
      </c>
      <c r="F23" s="52">
        <v>0.23</v>
      </c>
      <c r="G23" s="75">
        <v>16.7</v>
      </c>
      <c r="H23" s="75">
        <v>13.5</v>
      </c>
      <c r="I23" s="27" t="s">
        <v>360</v>
      </c>
      <c r="J23" s="28" t="s">
        <v>13</v>
      </c>
    </row>
    <row r="24" spans="1:10" ht="21.75" customHeight="1" x14ac:dyDescent="0.3">
      <c r="A24" s="24" t="s">
        <v>361</v>
      </c>
      <c r="B24" s="26" t="s">
        <v>357</v>
      </c>
      <c r="C24" s="74">
        <v>8.6</v>
      </c>
      <c r="D24" s="74">
        <v>0.5</v>
      </c>
      <c r="E24" s="52">
        <v>0.24</v>
      </c>
      <c r="F24" s="52">
        <v>0.25</v>
      </c>
      <c r="G24" s="75">
        <v>15.9</v>
      </c>
      <c r="H24" s="75">
        <v>12.7</v>
      </c>
      <c r="I24" s="27" t="s">
        <v>362</v>
      </c>
      <c r="J24" s="28" t="s">
        <v>13</v>
      </c>
    </row>
    <row r="25" spans="1:10" ht="21.75" customHeight="1" x14ac:dyDescent="0.3">
      <c r="A25" s="24" t="s">
        <v>363</v>
      </c>
      <c r="B25" s="26" t="s">
        <v>357</v>
      </c>
      <c r="C25" s="74">
        <v>6.5</v>
      </c>
      <c r="D25" s="74">
        <v>0.5</v>
      </c>
      <c r="E25" s="52">
        <v>0.22</v>
      </c>
      <c r="F25" s="52">
        <v>0.21</v>
      </c>
      <c r="G25" s="75">
        <v>13.2</v>
      </c>
      <c r="H25" s="75">
        <v>10.9</v>
      </c>
      <c r="I25" s="27" t="s">
        <v>364</v>
      </c>
      <c r="J25" s="28" t="s">
        <v>13</v>
      </c>
    </row>
    <row r="26" spans="1:10" ht="21.75" customHeight="1" x14ac:dyDescent="0.3">
      <c r="A26" s="24" t="s">
        <v>365</v>
      </c>
      <c r="B26" s="26" t="s">
        <v>357</v>
      </c>
      <c r="C26" s="74">
        <v>5.7</v>
      </c>
      <c r="D26" s="74">
        <v>0.2</v>
      </c>
      <c r="E26" s="52">
        <v>0.24</v>
      </c>
      <c r="F26" s="52">
        <v>0.24</v>
      </c>
      <c r="G26" s="75">
        <v>23</v>
      </c>
      <c r="H26" s="75">
        <v>18.5</v>
      </c>
      <c r="I26" s="27" t="s">
        <v>366</v>
      </c>
      <c r="J26" s="28" t="s">
        <v>13</v>
      </c>
    </row>
    <row r="27" spans="1:10" ht="21.75" customHeight="1" x14ac:dyDescent="0.3">
      <c r="A27" s="24" t="s">
        <v>367</v>
      </c>
      <c r="B27" s="26" t="s">
        <v>357</v>
      </c>
      <c r="C27" s="74">
        <v>4.8</v>
      </c>
      <c r="D27" s="74">
        <v>0.2</v>
      </c>
      <c r="E27" s="52">
        <v>0.16</v>
      </c>
      <c r="F27" s="52">
        <v>0.17</v>
      </c>
      <c r="G27" s="75">
        <v>19.399999999999999</v>
      </c>
      <c r="H27" s="75">
        <v>16.5</v>
      </c>
      <c r="I27" s="27" t="s">
        <v>368</v>
      </c>
      <c r="J27" s="28" t="s">
        <v>13</v>
      </c>
    </row>
    <row r="28" spans="1:10" ht="21.75" customHeight="1" x14ac:dyDescent="0.3">
      <c r="A28" s="24" t="s">
        <v>369</v>
      </c>
      <c r="B28" s="26" t="s">
        <v>370</v>
      </c>
      <c r="C28" s="74">
        <v>86.3</v>
      </c>
      <c r="D28" s="74">
        <v>3.9</v>
      </c>
      <c r="E28" s="52">
        <v>0.56000000000000005</v>
      </c>
      <c r="F28" s="52">
        <v>0.49</v>
      </c>
      <c r="G28" s="75">
        <v>22</v>
      </c>
      <c r="H28" s="75">
        <v>14.8</v>
      </c>
      <c r="I28" s="27" t="s">
        <v>371</v>
      </c>
      <c r="J28" s="28" t="s">
        <v>13</v>
      </c>
    </row>
    <row r="29" spans="1:10" ht="21.75" customHeight="1" x14ac:dyDescent="0.3">
      <c r="A29" s="24" t="s">
        <v>372</v>
      </c>
      <c r="B29" s="26" t="s">
        <v>370</v>
      </c>
      <c r="C29" s="74">
        <v>42.1</v>
      </c>
      <c r="D29" s="74">
        <v>2.7</v>
      </c>
      <c r="E29" s="52">
        <v>0.54</v>
      </c>
      <c r="F29" s="52">
        <v>0.38</v>
      </c>
      <c r="G29" s="75">
        <v>15.3</v>
      </c>
      <c r="H29" s="75">
        <v>11.1</v>
      </c>
      <c r="I29" s="27" t="s">
        <v>373</v>
      </c>
      <c r="J29" s="28" t="s">
        <v>13</v>
      </c>
    </row>
    <row r="30" spans="1:10" ht="21.75" customHeight="1" x14ac:dyDescent="0.3">
      <c r="A30" s="24" t="s">
        <v>374</v>
      </c>
      <c r="B30" s="26" t="s">
        <v>370</v>
      </c>
      <c r="C30" s="74">
        <v>36.9</v>
      </c>
      <c r="D30" s="74">
        <v>2.6</v>
      </c>
      <c r="E30" s="52">
        <v>0.53</v>
      </c>
      <c r="F30" s="52">
        <v>0.36</v>
      </c>
      <c r="G30" s="75">
        <v>14.2</v>
      </c>
      <c r="H30" s="75">
        <v>10.4</v>
      </c>
      <c r="I30" s="27" t="s">
        <v>375</v>
      </c>
      <c r="J30" s="28" t="s">
        <v>13</v>
      </c>
    </row>
    <row r="31" spans="1:10" ht="21.75" customHeight="1" x14ac:dyDescent="0.3">
      <c r="A31" s="24" t="s">
        <v>376</v>
      </c>
      <c r="B31" s="26" t="s">
        <v>370</v>
      </c>
      <c r="C31" s="74">
        <v>11.8</v>
      </c>
      <c r="D31" s="74">
        <v>0.7</v>
      </c>
      <c r="E31" s="52">
        <v>0.36</v>
      </c>
      <c r="F31" s="52">
        <v>0.39</v>
      </c>
      <c r="G31" s="75">
        <v>15.8</v>
      </c>
      <c r="H31" s="75">
        <v>11.3</v>
      </c>
      <c r="I31" s="27" t="s">
        <v>377</v>
      </c>
      <c r="J31" s="28" t="s">
        <v>13</v>
      </c>
    </row>
    <row r="32" spans="1:10" ht="14.25" customHeight="1" x14ac:dyDescent="0.3"/>
    <row r="33" spans="1:10" ht="21.75" customHeight="1" x14ac:dyDescent="0.3">
      <c r="A33" s="36" t="s">
        <v>378</v>
      </c>
      <c r="B33" s="20"/>
      <c r="C33" s="20"/>
      <c r="D33" s="20"/>
      <c r="E33" s="20"/>
      <c r="F33" s="20"/>
      <c r="G33" s="20"/>
      <c r="H33" s="20"/>
      <c r="I33" s="20"/>
      <c r="J33" s="20"/>
    </row>
    <row r="34" spans="1:10" ht="21.75" customHeight="1" x14ac:dyDescent="0.3">
      <c r="A34" s="37" t="s">
        <v>379</v>
      </c>
      <c r="B34" s="37" t="s">
        <v>380</v>
      </c>
      <c r="C34" s="37" t="s">
        <v>381</v>
      </c>
      <c r="D34" s="37" t="s">
        <v>382</v>
      </c>
      <c r="E34" s="37" t="s">
        <v>383</v>
      </c>
      <c r="F34" s="37" t="s">
        <v>384</v>
      </c>
      <c r="G34" s="37" t="s">
        <v>385</v>
      </c>
      <c r="H34" s="37" t="s">
        <v>386</v>
      </c>
      <c r="I34" s="37" t="s">
        <v>7</v>
      </c>
      <c r="J34" s="37" t="s">
        <v>8</v>
      </c>
    </row>
    <row r="35" spans="1:10" ht="21.75" customHeight="1" x14ac:dyDescent="0.3">
      <c r="A35" s="24" t="s">
        <v>326</v>
      </c>
      <c r="B35" s="76">
        <v>1.6</v>
      </c>
      <c r="C35" s="74">
        <v>68.900000000000006</v>
      </c>
      <c r="D35" s="74">
        <v>21.6</v>
      </c>
      <c r="E35" s="74">
        <v>9.4</v>
      </c>
      <c r="F35" s="74">
        <v>7.6</v>
      </c>
      <c r="G35" s="74">
        <v>44.3</v>
      </c>
      <c r="H35" s="74">
        <v>39.5</v>
      </c>
      <c r="I35" s="27" t="s">
        <v>387</v>
      </c>
      <c r="J35" s="28" t="s">
        <v>13</v>
      </c>
    </row>
    <row r="36" spans="1:10" ht="21.75" customHeight="1" x14ac:dyDescent="0.3">
      <c r="A36" s="24" t="s">
        <v>327</v>
      </c>
      <c r="B36" s="76">
        <v>0.1</v>
      </c>
      <c r="C36" s="74">
        <v>4.2</v>
      </c>
      <c r="D36" s="74">
        <v>1.2</v>
      </c>
      <c r="E36" s="74">
        <v>0.5</v>
      </c>
      <c r="F36" s="74">
        <v>0.5</v>
      </c>
      <c r="G36" s="74">
        <v>2.5</v>
      </c>
      <c r="H36" s="74">
        <v>2.7</v>
      </c>
      <c r="I36" s="27" t="s">
        <v>388</v>
      </c>
      <c r="J36" s="28" t="s">
        <v>13</v>
      </c>
    </row>
    <row r="37" spans="1:10" ht="21.75" customHeight="1" x14ac:dyDescent="0.3">
      <c r="A37" s="24" t="s">
        <v>328</v>
      </c>
      <c r="B37" s="77">
        <v>0.77</v>
      </c>
      <c r="C37" s="52">
        <v>0.51</v>
      </c>
      <c r="D37" s="52">
        <v>0.5</v>
      </c>
      <c r="E37" s="52">
        <v>0.24</v>
      </c>
      <c r="F37" s="52">
        <v>0.24</v>
      </c>
      <c r="G37" s="52">
        <v>0.5</v>
      </c>
      <c r="H37" s="52">
        <v>0.54</v>
      </c>
      <c r="I37" s="27" t="s">
        <v>389</v>
      </c>
      <c r="J37" s="28" t="s">
        <v>13</v>
      </c>
    </row>
    <row r="38" spans="1:10" ht="21.75" customHeight="1" x14ac:dyDescent="0.3">
      <c r="A38" s="24" t="s">
        <v>329</v>
      </c>
      <c r="B38" s="77">
        <v>0.65</v>
      </c>
      <c r="C38" s="52">
        <v>0.39</v>
      </c>
      <c r="D38" s="52">
        <v>0.33</v>
      </c>
      <c r="E38" s="52">
        <v>0.23</v>
      </c>
      <c r="F38" s="52">
        <v>0.24</v>
      </c>
      <c r="G38" s="52">
        <v>0.41</v>
      </c>
      <c r="H38" s="52">
        <v>0.39</v>
      </c>
      <c r="I38" s="27" t="s">
        <v>390</v>
      </c>
      <c r="J38" s="28" t="s">
        <v>13</v>
      </c>
    </row>
    <row r="39" spans="1:10" ht="21.75" customHeight="1" x14ac:dyDescent="0.3">
      <c r="A39" s="24" t="s">
        <v>330</v>
      </c>
      <c r="B39" s="78">
        <v>12.7</v>
      </c>
      <c r="C39" s="75">
        <v>21.4</v>
      </c>
      <c r="D39" s="75">
        <v>16.600000000000001</v>
      </c>
      <c r="E39" s="75">
        <v>19.600000000000001</v>
      </c>
      <c r="F39" s="75">
        <v>18</v>
      </c>
      <c r="G39" s="75">
        <v>16.8</v>
      </c>
      <c r="H39" s="75">
        <v>15.6</v>
      </c>
      <c r="I39" s="27" t="s">
        <v>391</v>
      </c>
      <c r="J39" s="28" t="s">
        <v>13</v>
      </c>
    </row>
    <row r="40" spans="1:10" ht="21.75" customHeight="1" x14ac:dyDescent="0.3">
      <c r="A40" s="24" t="s">
        <v>331</v>
      </c>
      <c r="B40" s="78">
        <v>7.7</v>
      </c>
      <c r="C40" s="75">
        <v>15.5</v>
      </c>
      <c r="D40" s="75">
        <v>11.1</v>
      </c>
      <c r="E40" s="75">
        <v>16</v>
      </c>
      <c r="F40" s="75">
        <v>15</v>
      </c>
      <c r="G40" s="75">
        <v>11.9</v>
      </c>
      <c r="H40" s="75">
        <v>11.2</v>
      </c>
      <c r="I40" s="27" t="s">
        <v>392</v>
      </c>
      <c r="J40" s="28" t="s">
        <v>13</v>
      </c>
    </row>
  </sheetData>
  <pageMargins left="0.75" right="0.75" top="1" bottom="1" header="0.511811023622047" footer="0.511811023622047"/>
  <pageSetup paperSize="9" orientation="portrait" horizontalDpi="300" verticalDpi="300"/>
  <drawing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27"/>
  <sheetViews>
    <sheetView showGridLines="0" zoomScaleNormal="100" workbookViewId="0"/>
  </sheetViews>
  <sheetFormatPr defaultColWidth="8.6640625" defaultRowHeight="14.4" x14ac:dyDescent="0.3"/>
  <cols>
    <col min="1" max="1" width="70" customWidth="1"/>
    <col min="2" max="2" width="40" customWidth="1"/>
    <col min="3" max="3" width="54" customWidth="1"/>
    <col min="4" max="4" width="40" customWidth="1"/>
    <col min="5" max="5" width="41" customWidth="1"/>
    <col min="6" max="6" width="69" customWidth="1"/>
    <col min="7" max="7" width="70" customWidth="1"/>
  </cols>
  <sheetData>
    <row r="1" spans="1:7" ht="21" customHeight="1" x14ac:dyDescent="0.3"/>
    <row r="2" spans="1:7" ht="14.25" customHeight="1" x14ac:dyDescent="0.3"/>
    <row r="4" spans="1:7" ht="15" customHeight="1" x14ac:dyDescent="0.3"/>
    <row r="5" spans="1:7" ht="19.5" customHeight="1" x14ac:dyDescent="0.3">
      <c r="A5" s="16" t="s">
        <v>0</v>
      </c>
    </row>
    <row r="6" spans="1:7" ht="24.75" customHeight="1" x14ac:dyDescent="0.3">
      <c r="A6" s="35" t="s">
        <v>393</v>
      </c>
    </row>
    <row r="7" spans="1:7" ht="18" customHeight="1" x14ac:dyDescent="0.3">
      <c r="A7" s="18" t="s">
        <v>394</v>
      </c>
    </row>
    <row r="8" spans="1:7" ht="14.25" customHeight="1" x14ac:dyDescent="0.3"/>
    <row r="9" spans="1:7" ht="21.75" customHeight="1" x14ac:dyDescent="0.3">
      <c r="A9" s="36" t="s">
        <v>395</v>
      </c>
      <c r="B9" s="20"/>
      <c r="C9" s="20"/>
      <c r="D9" s="20"/>
      <c r="E9" s="20"/>
      <c r="F9" s="20"/>
      <c r="G9" s="20"/>
    </row>
    <row r="10" spans="1:7" ht="21.75" customHeight="1" x14ac:dyDescent="0.3">
      <c r="A10" s="37" t="s">
        <v>396</v>
      </c>
      <c r="B10" s="37" t="s">
        <v>397</v>
      </c>
      <c r="C10" s="37" t="s">
        <v>398</v>
      </c>
      <c r="D10" s="37" t="s">
        <v>399</v>
      </c>
      <c r="E10" s="37" t="s">
        <v>7</v>
      </c>
      <c r="F10" s="37" t="s">
        <v>8</v>
      </c>
      <c r="G10" s="37" t="s">
        <v>400</v>
      </c>
    </row>
    <row r="11" spans="1:7" ht="21.75" customHeight="1" x14ac:dyDescent="0.3">
      <c r="A11" s="24" t="s">
        <v>401</v>
      </c>
      <c r="B11" s="38">
        <v>165000000</v>
      </c>
      <c r="C11" s="40">
        <v>16500000</v>
      </c>
      <c r="D11" s="44">
        <v>10</v>
      </c>
      <c r="E11" s="27" t="s">
        <v>402</v>
      </c>
      <c r="F11" s="28" t="s">
        <v>13</v>
      </c>
      <c r="G11" s="26" t="s">
        <v>403</v>
      </c>
    </row>
    <row r="12" spans="1:7" ht="21.75" customHeight="1" x14ac:dyDescent="0.3">
      <c r="A12" s="24" t="s">
        <v>120</v>
      </c>
      <c r="B12" s="38">
        <v>55000000</v>
      </c>
      <c r="C12" s="40">
        <v>5740254</v>
      </c>
      <c r="D12" s="44">
        <v>10</v>
      </c>
      <c r="E12" s="27" t="s">
        <v>404</v>
      </c>
      <c r="F12" s="28" t="s">
        <v>13</v>
      </c>
      <c r="G12" s="26" t="s">
        <v>405</v>
      </c>
    </row>
    <row r="13" spans="1:7" ht="21.75" customHeight="1" x14ac:dyDescent="0.3">
      <c r="A13" s="29" t="s">
        <v>406</v>
      </c>
      <c r="B13" s="39">
        <f>SUM(B11:B12)</f>
        <v>220000000</v>
      </c>
      <c r="C13" s="42">
        <f>SUM(C11:C12)</f>
        <v>22240254</v>
      </c>
      <c r="D13" s="45"/>
      <c r="E13" s="32" t="s">
        <v>407</v>
      </c>
      <c r="F13" s="31" t="s">
        <v>13</v>
      </c>
      <c r="G13" s="31" t="s">
        <v>408</v>
      </c>
    </row>
    <row r="14" spans="1:7" ht="14.25" customHeight="1" x14ac:dyDescent="0.3"/>
    <row r="15" spans="1:7" ht="21.75" customHeight="1" x14ac:dyDescent="0.3">
      <c r="A15" s="36" t="s">
        <v>409</v>
      </c>
      <c r="B15" s="20"/>
      <c r="C15" s="20"/>
      <c r="D15" s="20"/>
      <c r="E15" s="20"/>
      <c r="F15" s="20"/>
      <c r="G15" s="20"/>
    </row>
    <row r="16" spans="1:7" ht="21.75" customHeight="1" x14ac:dyDescent="0.3">
      <c r="A16" s="37" t="s">
        <v>410</v>
      </c>
      <c r="B16" s="37" t="s">
        <v>411</v>
      </c>
      <c r="C16" s="37" t="s">
        <v>412</v>
      </c>
      <c r="D16" s="37" t="s">
        <v>7</v>
      </c>
      <c r="E16" s="37" t="s">
        <v>8</v>
      </c>
      <c r="F16" s="37" t="s">
        <v>413</v>
      </c>
      <c r="G16" s="20"/>
    </row>
    <row r="17" spans="1:7" ht="21.75" customHeight="1" x14ac:dyDescent="0.3">
      <c r="A17" s="24" t="s">
        <v>414</v>
      </c>
      <c r="B17" s="26" t="s">
        <v>415</v>
      </c>
      <c r="C17" s="25" t="s">
        <v>416</v>
      </c>
      <c r="D17" s="27" t="s">
        <v>417</v>
      </c>
      <c r="E17" s="28" t="s">
        <v>13</v>
      </c>
      <c r="F17" s="26" t="s">
        <v>418</v>
      </c>
      <c r="G17" s="20"/>
    </row>
    <row r="18" spans="1:7" ht="21.75" customHeight="1" x14ac:dyDescent="0.3">
      <c r="A18" s="24" t="s">
        <v>419</v>
      </c>
      <c r="B18" s="26" t="s">
        <v>120</v>
      </c>
      <c r="C18" s="25" t="s">
        <v>420</v>
      </c>
      <c r="D18" s="27" t="s">
        <v>421</v>
      </c>
      <c r="E18" s="28" t="s">
        <v>13</v>
      </c>
      <c r="F18" s="26" t="s">
        <v>422</v>
      </c>
      <c r="G18" s="20"/>
    </row>
    <row r="19" spans="1:7" ht="21.75" customHeight="1" x14ac:dyDescent="0.3">
      <c r="A19" s="24" t="s">
        <v>423</v>
      </c>
      <c r="B19" s="26" t="s">
        <v>120</v>
      </c>
      <c r="C19" s="25" t="s">
        <v>424</v>
      </c>
      <c r="D19" s="27" t="s">
        <v>425</v>
      </c>
      <c r="E19" s="28" t="s">
        <v>13</v>
      </c>
      <c r="F19" s="26" t="s">
        <v>422</v>
      </c>
      <c r="G19" s="20"/>
    </row>
    <row r="20" spans="1:7" ht="21.75" customHeight="1" x14ac:dyDescent="0.3">
      <c r="A20" s="24" t="s">
        <v>426</v>
      </c>
      <c r="B20" s="26" t="s">
        <v>427</v>
      </c>
      <c r="C20" s="25" t="s">
        <v>428</v>
      </c>
      <c r="D20" s="27" t="s">
        <v>429</v>
      </c>
      <c r="E20" s="28" t="s">
        <v>13</v>
      </c>
      <c r="F20" s="26" t="s">
        <v>430</v>
      </c>
      <c r="G20" s="20"/>
    </row>
    <row r="21" spans="1:7" ht="21.75" customHeight="1" x14ac:dyDescent="0.3">
      <c r="A21" s="24" t="s">
        <v>431</v>
      </c>
      <c r="B21" s="26" t="s">
        <v>427</v>
      </c>
      <c r="C21" s="25" t="s">
        <v>428</v>
      </c>
      <c r="D21" s="27" t="s">
        <v>429</v>
      </c>
      <c r="E21" s="28" t="s">
        <v>13</v>
      </c>
      <c r="F21" s="26" t="s">
        <v>430</v>
      </c>
      <c r="G21" s="20"/>
    </row>
    <row r="22" spans="1:7" ht="14.25" customHeight="1" x14ac:dyDescent="0.3"/>
    <row r="23" spans="1:7" ht="21.75" customHeight="1" x14ac:dyDescent="0.3">
      <c r="A23" s="36" t="s">
        <v>432</v>
      </c>
      <c r="B23" s="20"/>
      <c r="C23" s="20"/>
      <c r="D23" s="20"/>
      <c r="E23" s="20"/>
      <c r="F23" s="20"/>
      <c r="G23" s="20"/>
    </row>
    <row r="24" spans="1:7" ht="21.75" customHeight="1" x14ac:dyDescent="0.3">
      <c r="A24" s="79" t="s">
        <v>433</v>
      </c>
      <c r="B24" s="79" t="s">
        <v>434</v>
      </c>
      <c r="C24" s="80" t="s">
        <v>435</v>
      </c>
      <c r="D24" s="80" t="s">
        <v>436</v>
      </c>
      <c r="E24" s="81" t="s">
        <v>437</v>
      </c>
      <c r="F24" s="81" t="s">
        <v>7</v>
      </c>
      <c r="G24" s="81" t="s">
        <v>8</v>
      </c>
    </row>
    <row r="25" spans="1:7" ht="21.75" customHeight="1" x14ac:dyDescent="0.3">
      <c r="A25" s="24" t="s">
        <v>438</v>
      </c>
      <c r="B25" s="26" t="s">
        <v>439</v>
      </c>
      <c r="C25" s="38">
        <v>145000000</v>
      </c>
      <c r="D25" s="38">
        <v>55000000</v>
      </c>
      <c r="E25" s="82">
        <f>C25+D25</f>
        <v>200000000</v>
      </c>
      <c r="F25" s="27" t="s">
        <v>440</v>
      </c>
      <c r="G25" s="28" t="s">
        <v>13</v>
      </c>
    </row>
    <row r="26" spans="1:7" ht="21.75" customHeight="1" x14ac:dyDescent="0.3">
      <c r="A26" s="24" t="s">
        <v>441</v>
      </c>
      <c r="B26" s="26" t="s">
        <v>442</v>
      </c>
      <c r="C26" s="38">
        <v>165000000</v>
      </c>
      <c r="D26" s="38">
        <v>55000000</v>
      </c>
      <c r="E26" s="82">
        <f>C26+D26</f>
        <v>220000000</v>
      </c>
      <c r="F26" s="27" t="s">
        <v>443</v>
      </c>
      <c r="G26" s="28" t="s">
        <v>13</v>
      </c>
    </row>
    <row r="27" spans="1:7" ht="21.75" customHeight="1" x14ac:dyDescent="0.3">
      <c r="A27" s="29" t="s">
        <v>444</v>
      </c>
      <c r="B27" s="31" t="s">
        <v>445</v>
      </c>
      <c r="C27" s="39">
        <f>C26-C25</f>
        <v>20000000</v>
      </c>
      <c r="D27" s="39">
        <f>D26-D25</f>
        <v>0</v>
      </c>
      <c r="E27" s="39">
        <f>E26-E25</f>
        <v>20000000</v>
      </c>
      <c r="F27" s="32" t="s">
        <v>446</v>
      </c>
      <c r="G27" s="31" t="s">
        <v>13</v>
      </c>
    </row>
  </sheetData>
  <pageMargins left="0.75" right="0.75" top="1" bottom="1" header="0.511811023622047" footer="0.511811023622047"/>
  <pageSetup paperSize="9" orientation="portrait" horizontalDpi="300" verticalDpi="300"/>
  <drawing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39"/>
  <sheetViews>
    <sheetView showGridLines="0" zoomScaleNormal="100" workbookViewId="0"/>
  </sheetViews>
  <sheetFormatPr defaultColWidth="8.6640625" defaultRowHeight="14.4" x14ac:dyDescent="0.3"/>
  <cols>
    <col min="1" max="1" width="51" customWidth="1"/>
    <col min="2" max="2" width="29" customWidth="1"/>
    <col min="3" max="3" width="39" customWidth="1"/>
    <col min="4" max="4" width="54" customWidth="1"/>
    <col min="5" max="5" width="62" customWidth="1"/>
    <col min="6" max="6" width="60" customWidth="1"/>
  </cols>
  <sheetData>
    <row r="1" spans="1:6" ht="21" customHeight="1" x14ac:dyDescent="0.3"/>
    <row r="2" spans="1:6" ht="14.25" customHeight="1" x14ac:dyDescent="0.3"/>
    <row r="4" spans="1:6" ht="15" customHeight="1" x14ac:dyDescent="0.3"/>
    <row r="5" spans="1:6" ht="19.5" customHeight="1" x14ac:dyDescent="0.3">
      <c r="A5" s="16" t="s">
        <v>0</v>
      </c>
    </row>
    <row r="6" spans="1:6" ht="24.75" customHeight="1" x14ac:dyDescent="0.3">
      <c r="A6" s="35" t="s">
        <v>447</v>
      </c>
    </row>
    <row r="7" spans="1:6" ht="18" customHeight="1" x14ac:dyDescent="0.3">
      <c r="A7" s="18" t="s">
        <v>448</v>
      </c>
    </row>
    <row r="8" spans="1:6" ht="14.25" customHeight="1" x14ac:dyDescent="0.3"/>
    <row r="9" spans="1:6" ht="21.75" customHeight="1" x14ac:dyDescent="0.3">
      <c r="A9" s="36" t="s">
        <v>449</v>
      </c>
      <c r="B9" s="20"/>
      <c r="C9" s="20"/>
      <c r="D9" s="20"/>
      <c r="E9" s="20"/>
      <c r="F9" s="20"/>
    </row>
    <row r="10" spans="1:6" ht="21.75" customHeight="1" x14ac:dyDescent="0.3">
      <c r="A10" s="37" t="s">
        <v>450</v>
      </c>
      <c r="B10" s="37" t="s">
        <v>451</v>
      </c>
      <c r="C10" s="37" t="s">
        <v>452</v>
      </c>
      <c r="D10" s="37" t="s">
        <v>7</v>
      </c>
      <c r="E10" s="37" t="s">
        <v>8</v>
      </c>
      <c r="F10" s="37" t="s">
        <v>453</v>
      </c>
    </row>
    <row r="11" spans="1:6" ht="21.75" customHeight="1" x14ac:dyDescent="0.3">
      <c r="A11" s="24" t="s">
        <v>454</v>
      </c>
      <c r="B11" s="25" t="s">
        <v>40</v>
      </c>
      <c r="C11" s="26" t="s">
        <v>455</v>
      </c>
      <c r="D11" s="27" t="s">
        <v>42</v>
      </c>
      <c r="E11" s="28" t="s">
        <v>13</v>
      </c>
      <c r="F11" s="26" t="s">
        <v>456</v>
      </c>
    </row>
    <row r="12" spans="1:6" ht="21.75" customHeight="1" x14ac:dyDescent="0.3">
      <c r="A12" s="24" t="s">
        <v>457</v>
      </c>
      <c r="B12" s="40">
        <v>10062500</v>
      </c>
      <c r="C12" s="26" t="s">
        <v>156</v>
      </c>
      <c r="D12" s="27" t="s">
        <v>458</v>
      </c>
      <c r="E12" s="28" t="s">
        <v>13</v>
      </c>
      <c r="F12" s="26" t="s">
        <v>459</v>
      </c>
    </row>
    <row r="13" spans="1:6" ht="21.75" customHeight="1" x14ac:dyDescent="0.3">
      <c r="A13" s="24" t="s">
        <v>460</v>
      </c>
      <c r="B13" s="40">
        <v>3350000</v>
      </c>
      <c r="C13" s="26" t="s">
        <v>461</v>
      </c>
      <c r="D13" s="27" t="s">
        <v>462</v>
      </c>
      <c r="E13" s="28" t="s">
        <v>13</v>
      </c>
      <c r="F13" s="26" t="s">
        <v>463</v>
      </c>
    </row>
    <row r="14" spans="1:6" ht="21.75" customHeight="1" x14ac:dyDescent="0.3">
      <c r="A14" s="24" t="s">
        <v>464</v>
      </c>
      <c r="B14" s="40">
        <v>3350000</v>
      </c>
      <c r="C14" s="26" t="s">
        <v>461</v>
      </c>
      <c r="D14" s="27" t="s">
        <v>465</v>
      </c>
      <c r="E14" s="28" t="s">
        <v>13</v>
      </c>
      <c r="F14" s="26" t="s">
        <v>466</v>
      </c>
    </row>
    <row r="15" spans="1:6" ht="14.25" customHeight="1" x14ac:dyDescent="0.3"/>
    <row r="16" spans="1:6" ht="21.75" customHeight="1" x14ac:dyDescent="0.3">
      <c r="A16" s="36" t="s">
        <v>467</v>
      </c>
      <c r="B16" s="20"/>
      <c r="C16" s="20"/>
      <c r="D16" s="20"/>
      <c r="E16" s="20"/>
      <c r="F16" s="20"/>
    </row>
    <row r="17" spans="1:6" ht="21.75" customHeight="1" x14ac:dyDescent="0.3">
      <c r="A17" s="37" t="s">
        <v>468</v>
      </c>
      <c r="B17" s="37" t="s">
        <v>469</v>
      </c>
      <c r="C17" s="37" t="s">
        <v>7</v>
      </c>
      <c r="D17" s="37" t="s">
        <v>8</v>
      </c>
      <c r="E17" s="37" t="s">
        <v>470</v>
      </c>
      <c r="F17" s="20"/>
    </row>
    <row r="18" spans="1:6" ht="21.75" customHeight="1" x14ac:dyDescent="0.3">
      <c r="A18" s="29" t="s">
        <v>471</v>
      </c>
      <c r="B18" s="83">
        <v>7</v>
      </c>
      <c r="C18" s="32" t="s">
        <v>472</v>
      </c>
      <c r="D18" s="31" t="s">
        <v>13</v>
      </c>
      <c r="E18" s="31" t="s">
        <v>473</v>
      </c>
      <c r="F18" s="45"/>
    </row>
    <row r="19" spans="1:6" ht="21.75" customHeight="1" x14ac:dyDescent="0.3">
      <c r="A19" s="24" t="s">
        <v>474</v>
      </c>
      <c r="B19" s="84">
        <v>5</v>
      </c>
      <c r="C19" s="27" t="s">
        <v>475</v>
      </c>
      <c r="D19" s="28" t="s">
        <v>13</v>
      </c>
      <c r="E19" s="26" t="s">
        <v>476</v>
      </c>
      <c r="F19" s="20"/>
    </row>
    <row r="20" spans="1:6" ht="21.75" customHeight="1" x14ac:dyDescent="0.3">
      <c r="A20" s="24" t="s">
        <v>477</v>
      </c>
      <c r="B20" s="84">
        <v>2</v>
      </c>
      <c r="C20" s="27" t="s">
        <v>475</v>
      </c>
      <c r="D20" s="28" t="s">
        <v>13</v>
      </c>
      <c r="E20" s="26" t="s">
        <v>478</v>
      </c>
      <c r="F20" s="20"/>
    </row>
    <row r="21" spans="1:6" ht="14.25" customHeight="1" x14ac:dyDescent="0.3"/>
    <row r="22" spans="1:6" ht="21.75" customHeight="1" x14ac:dyDescent="0.3">
      <c r="A22" s="36" t="s">
        <v>479</v>
      </c>
      <c r="B22" s="20"/>
      <c r="C22" s="20"/>
      <c r="D22" s="20"/>
      <c r="E22" s="20"/>
      <c r="F22" s="20"/>
    </row>
    <row r="23" spans="1:6" ht="21.75" customHeight="1" x14ac:dyDescent="0.3">
      <c r="A23" s="37" t="s">
        <v>480</v>
      </c>
      <c r="B23" s="37" t="s">
        <v>481</v>
      </c>
      <c r="C23" s="37" t="s">
        <v>482</v>
      </c>
      <c r="D23" s="37" t="s">
        <v>483</v>
      </c>
      <c r="E23" s="37" t="s">
        <v>7</v>
      </c>
      <c r="F23" s="37" t="s">
        <v>8</v>
      </c>
    </row>
    <row r="24" spans="1:6" ht="21.75" customHeight="1" x14ac:dyDescent="0.3">
      <c r="A24" s="24" t="s">
        <v>484</v>
      </c>
      <c r="B24" s="84">
        <v>44</v>
      </c>
      <c r="C24" s="26" t="s">
        <v>485</v>
      </c>
      <c r="D24" s="26" t="s">
        <v>486</v>
      </c>
      <c r="E24" s="27" t="s">
        <v>487</v>
      </c>
      <c r="F24" s="28" t="s">
        <v>13</v>
      </c>
    </row>
    <row r="25" spans="1:6" ht="21.75" customHeight="1" x14ac:dyDescent="0.3">
      <c r="A25" s="24" t="s">
        <v>488</v>
      </c>
      <c r="B25" s="84">
        <v>43</v>
      </c>
      <c r="C25" s="26" t="s">
        <v>485</v>
      </c>
      <c r="D25" s="26" t="s">
        <v>489</v>
      </c>
      <c r="E25" s="27" t="s">
        <v>490</v>
      </c>
      <c r="F25" s="28" t="s">
        <v>13</v>
      </c>
    </row>
    <row r="26" spans="1:6" ht="21.75" customHeight="1" x14ac:dyDescent="0.3">
      <c r="A26" s="24" t="s">
        <v>491</v>
      </c>
      <c r="B26" s="84">
        <v>48</v>
      </c>
      <c r="C26" s="26" t="s">
        <v>485</v>
      </c>
      <c r="D26" s="26" t="s">
        <v>492</v>
      </c>
      <c r="E26" s="27" t="s">
        <v>493</v>
      </c>
      <c r="F26" s="28" t="s">
        <v>13</v>
      </c>
    </row>
    <row r="27" spans="1:6" ht="21.75" customHeight="1" x14ac:dyDescent="0.3">
      <c r="A27" s="24" t="s">
        <v>494</v>
      </c>
      <c r="B27" s="84">
        <v>51</v>
      </c>
      <c r="C27" s="26" t="s">
        <v>485</v>
      </c>
      <c r="D27" s="26" t="s">
        <v>495</v>
      </c>
      <c r="E27" s="27" t="s">
        <v>496</v>
      </c>
      <c r="F27" s="28" t="s">
        <v>13</v>
      </c>
    </row>
    <row r="28" spans="1:6" ht="21.75" customHeight="1" x14ac:dyDescent="0.3">
      <c r="A28" s="24" t="s">
        <v>497</v>
      </c>
      <c r="B28" s="84">
        <v>42</v>
      </c>
      <c r="C28" s="26" t="s">
        <v>485</v>
      </c>
      <c r="D28" s="26" t="s">
        <v>498</v>
      </c>
      <c r="E28" s="27" t="s">
        <v>499</v>
      </c>
      <c r="F28" s="28" t="s">
        <v>13</v>
      </c>
    </row>
    <row r="29" spans="1:6" ht="21.75" customHeight="1" x14ac:dyDescent="0.3">
      <c r="A29" s="24" t="s">
        <v>500</v>
      </c>
      <c r="B29" s="84">
        <v>45</v>
      </c>
      <c r="C29" s="26" t="s">
        <v>485</v>
      </c>
      <c r="D29" s="26" t="s">
        <v>501</v>
      </c>
      <c r="E29" s="27" t="s">
        <v>502</v>
      </c>
      <c r="F29" s="28" t="s">
        <v>13</v>
      </c>
    </row>
    <row r="30" spans="1:6" ht="21.75" customHeight="1" x14ac:dyDescent="0.3">
      <c r="A30" s="24" t="s">
        <v>503</v>
      </c>
      <c r="B30" s="84">
        <v>42</v>
      </c>
      <c r="C30" s="26" t="s">
        <v>485</v>
      </c>
      <c r="D30" s="26" t="s">
        <v>504</v>
      </c>
      <c r="E30" s="27" t="s">
        <v>505</v>
      </c>
      <c r="F30" s="28" t="s">
        <v>13</v>
      </c>
    </row>
    <row r="31" spans="1:6" ht="21.75" customHeight="1" x14ac:dyDescent="0.3">
      <c r="A31" s="24" t="s">
        <v>506</v>
      </c>
      <c r="B31" s="25" t="s">
        <v>507</v>
      </c>
      <c r="C31" s="26" t="s">
        <v>11</v>
      </c>
      <c r="D31" s="26" t="s">
        <v>508</v>
      </c>
      <c r="E31" s="27" t="s">
        <v>509</v>
      </c>
      <c r="F31" s="28" t="s">
        <v>13</v>
      </c>
    </row>
    <row r="32" spans="1:6" ht="21.75" customHeight="1" x14ac:dyDescent="0.3">
      <c r="A32" s="24" t="s">
        <v>510</v>
      </c>
      <c r="B32" s="84">
        <v>45</v>
      </c>
      <c r="C32" s="26" t="s">
        <v>16</v>
      </c>
      <c r="D32" s="26" t="s">
        <v>511</v>
      </c>
      <c r="E32" s="27" t="s">
        <v>512</v>
      </c>
      <c r="F32" s="28" t="s">
        <v>13</v>
      </c>
    </row>
    <row r="33" spans="1:6" ht="21.75" customHeight="1" x14ac:dyDescent="0.3">
      <c r="A33" s="24" t="s">
        <v>513</v>
      </c>
      <c r="B33" s="84">
        <v>45</v>
      </c>
      <c r="C33" s="26" t="s">
        <v>16</v>
      </c>
      <c r="D33" s="26" t="s">
        <v>514</v>
      </c>
      <c r="E33" s="27" t="s">
        <v>515</v>
      </c>
      <c r="F33" s="28" t="s">
        <v>13</v>
      </c>
    </row>
    <row r="34" spans="1:6" ht="21.75" customHeight="1" x14ac:dyDescent="0.3">
      <c r="A34" s="24" t="s">
        <v>516</v>
      </c>
      <c r="B34" s="84">
        <v>43</v>
      </c>
      <c r="C34" s="26" t="s">
        <v>16</v>
      </c>
      <c r="D34" s="26" t="s">
        <v>517</v>
      </c>
      <c r="E34" s="27" t="s">
        <v>518</v>
      </c>
      <c r="F34" s="28" t="s">
        <v>13</v>
      </c>
    </row>
    <row r="35" spans="1:6" ht="21.75" customHeight="1" x14ac:dyDescent="0.3">
      <c r="A35" s="24" t="s">
        <v>519</v>
      </c>
      <c r="B35" s="84">
        <v>37</v>
      </c>
      <c r="C35" s="26" t="s">
        <v>16</v>
      </c>
      <c r="D35" s="26" t="s">
        <v>520</v>
      </c>
      <c r="E35" s="27" t="s">
        <v>521</v>
      </c>
      <c r="F35" s="28" t="s">
        <v>13</v>
      </c>
    </row>
    <row r="36" spans="1:6" ht="21.75" customHeight="1" x14ac:dyDescent="0.3">
      <c r="A36" s="24" t="s">
        <v>522</v>
      </c>
      <c r="B36" s="84">
        <v>49</v>
      </c>
      <c r="C36" s="26" t="s">
        <v>16</v>
      </c>
      <c r="D36" s="26" t="s">
        <v>523</v>
      </c>
      <c r="E36" s="27" t="s">
        <v>524</v>
      </c>
      <c r="F36" s="28" t="s">
        <v>13</v>
      </c>
    </row>
    <row r="37" spans="1:6" ht="21.75" customHeight="1" x14ac:dyDescent="0.3">
      <c r="A37" s="24" t="s">
        <v>525</v>
      </c>
      <c r="B37" s="84">
        <v>36</v>
      </c>
      <c r="C37" s="26" t="s">
        <v>16</v>
      </c>
      <c r="D37" s="26" t="s">
        <v>526</v>
      </c>
      <c r="E37" s="27" t="s">
        <v>527</v>
      </c>
      <c r="F37" s="28" t="s">
        <v>13</v>
      </c>
    </row>
    <row r="38" spans="1:6" ht="21.75" customHeight="1" x14ac:dyDescent="0.3">
      <c r="A38" s="24" t="s">
        <v>528</v>
      </c>
      <c r="B38" s="84">
        <v>63</v>
      </c>
      <c r="C38" s="26" t="s">
        <v>16</v>
      </c>
      <c r="D38" s="26" t="s">
        <v>529</v>
      </c>
      <c r="E38" s="27" t="s">
        <v>530</v>
      </c>
      <c r="F38" s="28" t="s">
        <v>13</v>
      </c>
    </row>
    <row r="39" spans="1:6" ht="21.75" customHeight="1" x14ac:dyDescent="0.3">
      <c r="A39" s="24" t="s">
        <v>531</v>
      </c>
      <c r="B39" s="84">
        <v>53</v>
      </c>
      <c r="C39" s="26" t="s">
        <v>16</v>
      </c>
      <c r="D39" s="26" t="s">
        <v>529</v>
      </c>
      <c r="E39" s="27" t="s">
        <v>532</v>
      </c>
      <c r="F39" s="28" t="s">
        <v>13</v>
      </c>
    </row>
  </sheetData>
  <pageMargins left="0.75" right="0.75" top="1" bottom="1" header="0.511811023622047" footer="0.511811023622047"/>
  <pageSetup paperSize="9" orientation="portrait" horizontalDpi="300" verticalDpi="300"/>
  <drawing r:id="rId1"/>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2:G41"/>
  <sheetViews>
    <sheetView showGridLines="0" zoomScaleNormal="100" workbookViewId="0">
      <selection activeCell="B33" sqref="B33"/>
    </sheetView>
  </sheetViews>
  <sheetFormatPr defaultColWidth="8.6640625" defaultRowHeight="14.4" x14ac:dyDescent="0.3"/>
  <cols>
    <col min="1" max="1" width="14" customWidth="1"/>
    <col min="2" max="4" width="70" customWidth="1"/>
    <col min="5" max="7" width="14" customWidth="1"/>
  </cols>
  <sheetData>
    <row r="2" spans="1:7" ht="14.25" customHeight="1" x14ac:dyDescent="0.3">
      <c r="B2" s="12"/>
      <c r="C2" s="12"/>
      <c r="D2" s="12"/>
      <c r="E2" s="12"/>
      <c r="F2" s="12"/>
    </row>
    <row r="4" spans="1:7" ht="30" customHeight="1" x14ac:dyDescent="0.3">
      <c r="B4" s="12"/>
      <c r="C4" s="12"/>
      <c r="D4" s="12"/>
      <c r="E4" s="12"/>
      <c r="F4" s="12"/>
    </row>
    <row r="5" spans="1:7" ht="19.5" customHeight="1" x14ac:dyDescent="0.3">
      <c r="A5" s="16" t="s">
        <v>0</v>
      </c>
    </row>
    <row r="6" spans="1:7" ht="14.25" customHeight="1" x14ac:dyDescent="0.3"/>
    <row r="7" spans="1:7" ht="14.25" customHeight="1" x14ac:dyDescent="0.3">
      <c r="B7" s="85" t="s">
        <v>533</v>
      </c>
    </row>
    <row r="8" spans="1:7" ht="30" customHeight="1" x14ac:dyDescent="0.3">
      <c r="D8" s="12"/>
      <c r="E8" s="12"/>
      <c r="F8" s="12"/>
    </row>
    <row r="9" spans="1:7" ht="21.75" customHeight="1" x14ac:dyDescent="0.3">
      <c r="A9" s="20"/>
      <c r="B9" s="86" t="s">
        <v>534</v>
      </c>
      <c r="C9" s="20"/>
      <c r="D9" s="11"/>
      <c r="E9" s="11"/>
      <c r="F9" s="11"/>
      <c r="G9" s="20"/>
    </row>
    <row r="10" spans="1:7" ht="30" customHeight="1" x14ac:dyDescent="0.3">
      <c r="D10" s="12"/>
      <c r="E10" s="12"/>
      <c r="F10" s="12"/>
    </row>
    <row r="11" spans="1:7" ht="21.75" customHeight="1" x14ac:dyDescent="0.3">
      <c r="A11" s="60"/>
      <c r="B11" s="87" t="s">
        <v>535</v>
      </c>
      <c r="C11" s="60"/>
      <c r="D11" s="10"/>
      <c r="E11" s="10"/>
      <c r="F11" s="10"/>
      <c r="G11" s="60"/>
    </row>
    <row r="12" spans="1:7" ht="21.75" customHeight="1" x14ac:dyDescent="0.3">
      <c r="A12" s="88"/>
      <c r="B12" s="79" t="s">
        <v>536</v>
      </c>
      <c r="C12" s="80" t="s">
        <v>537</v>
      </c>
      <c r="D12" s="80" t="s">
        <v>538</v>
      </c>
      <c r="E12" s="89"/>
      <c r="F12" s="89"/>
      <c r="G12" s="89"/>
    </row>
    <row r="13" spans="1:7" ht="21.75" customHeight="1" x14ac:dyDescent="0.3">
      <c r="A13" s="20"/>
      <c r="B13" s="90" t="s">
        <v>539</v>
      </c>
      <c r="C13" s="91" t="s">
        <v>540</v>
      </c>
      <c r="D13" s="90" t="s">
        <v>541</v>
      </c>
      <c r="E13" s="20"/>
      <c r="F13" s="20"/>
      <c r="G13" s="20"/>
    </row>
    <row r="14" spans="1:7" ht="21.75" customHeight="1" x14ac:dyDescent="0.3">
      <c r="A14" s="20"/>
      <c r="B14" s="90" t="s">
        <v>542</v>
      </c>
      <c r="C14" s="91" t="s">
        <v>543</v>
      </c>
      <c r="D14" s="90" t="s">
        <v>544</v>
      </c>
      <c r="E14" s="20"/>
      <c r="F14" s="20"/>
      <c r="G14" s="20"/>
    </row>
    <row r="15" spans="1:7" ht="21.75" customHeight="1" x14ac:dyDescent="0.3">
      <c r="A15" s="20"/>
      <c r="B15" s="90" t="s">
        <v>545</v>
      </c>
      <c r="C15" s="91" t="s">
        <v>546</v>
      </c>
      <c r="D15" s="90" t="s">
        <v>547</v>
      </c>
      <c r="E15" s="20"/>
      <c r="F15" s="20"/>
      <c r="G15" s="20"/>
    </row>
    <row r="16" spans="1:7" ht="21.75" customHeight="1" x14ac:dyDescent="0.3">
      <c r="A16" s="20"/>
      <c r="B16" s="90" t="s">
        <v>548</v>
      </c>
      <c r="C16" s="91" t="s">
        <v>549</v>
      </c>
      <c r="D16" s="90" t="s">
        <v>550</v>
      </c>
      <c r="E16" s="20"/>
      <c r="F16" s="20"/>
      <c r="G16" s="20"/>
    </row>
    <row r="17" spans="1:7" ht="14.25" customHeight="1" x14ac:dyDescent="0.3"/>
    <row r="18" spans="1:7" ht="21.75" customHeight="1" x14ac:dyDescent="0.3">
      <c r="A18" s="20"/>
      <c r="B18" s="92" t="s">
        <v>551</v>
      </c>
      <c r="C18" s="93"/>
      <c r="D18" s="93"/>
      <c r="E18" s="93"/>
      <c r="F18" s="93"/>
      <c r="G18" s="20"/>
    </row>
    <row r="19" spans="1:7" ht="21.75" customHeight="1" x14ac:dyDescent="0.3">
      <c r="A19" s="88"/>
      <c r="B19" s="94" t="s">
        <v>552</v>
      </c>
      <c r="C19" s="80" t="s">
        <v>553</v>
      </c>
      <c r="D19" s="80" t="s">
        <v>554</v>
      </c>
      <c r="E19" s="81" t="s">
        <v>555</v>
      </c>
      <c r="F19" s="81" t="s">
        <v>556</v>
      </c>
      <c r="G19" s="81" t="s">
        <v>557</v>
      </c>
    </row>
    <row r="20" spans="1:7" ht="21.75" customHeight="1" x14ac:dyDescent="0.3">
      <c r="A20" s="20"/>
      <c r="B20" s="90" t="s">
        <v>558</v>
      </c>
      <c r="C20" s="95">
        <v>4.5999999999999996</v>
      </c>
      <c r="D20" s="95">
        <v>6.2</v>
      </c>
      <c r="E20" s="95">
        <v>8.1</v>
      </c>
      <c r="F20" s="95">
        <v>10</v>
      </c>
      <c r="G20" s="20"/>
    </row>
    <row r="21" spans="1:7" ht="21.75" customHeight="1" x14ac:dyDescent="0.3">
      <c r="A21" s="20"/>
      <c r="B21" s="90" t="s">
        <v>559</v>
      </c>
      <c r="C21" s="95">
        <v>4</v>
      </c>
      <c r="D21" s="11"/>
      <c r="E21" s="11"/>
      <c r="F21" s="11"/>
      <c r="G21" s="95">
        <v>6.8</v>
      </c>
    </row>
    <row r="22" spans="1:7" ht="21.75" customHeight="1" x14ac:dyDescent="0.3">
      <c r="A22" s="20"/>
      <c r="B22" s="96" t="s">
        <v>560</v>
      </c>
      <c r="C22" s="20"/>
      <c r="D22" s="11"/>
      <c r="E22" s="11"/>
      <c r="F22" s="11"/>
      <c r="G22" s="20"/>
    </row>
    <row r="23" spans="1:7" ht="27.75" customHeight="1" x14ac:dyDescent="0.3">
      <c r="D23" s="12"/>
      <c r="E23" s="12"/>
      <c r="F23" s="12"/>
    </row>
    <row r="24" spans="1:7" ht="21.75" customHeight="1" x14ac:dyDescent="0.3">
      <c r="A24" s="20"/>
      <c r="B24" s="92" t="s">
        <v>561</v>
      </c>
      <c r="C24" s="93"/>
      <c r="D24" s="9"/>
      <c r="E24" s="9"/>
      <c r="F24" s="9"/>
      <c r="G24" s="20"/>
    </row>
    <row r="25" spans="1:7" ht="21.75" customHeight="1" x14ac:dyDescent="0.3">
      <c r="A25" s="20"/>
      <c r="B25" s="37" t="s">
        <v>562</v>
      </c>
      <c r="C25" s="37" t="s">
        <v>563</v>
      </c>
      <c r="D25" s="8" t="s">
        <v>564</v>
      </c>
      <c r="E25" s="8"/>
      <c r="F25" s="8"/>
      <c r="G25" s="20"/>
    </row>
    <row r="26" spans="1:7" ht="21.75" customHeight="1" x14ac:dyDescent="0.3">
      <c r="A26" s="20"/>
      <c r="B26" s="90" t="s">
        <v>565</v>
      </c>
      <c r="C26" s="91" t="s">
        <v>566</v>
      </c>
      <c r="D26" s="7" t="s">
        <v>567</v>
      </c>
      <c r="E26" s="7"/>
      <c r="F26" s="7"/>
      <c r="G26" s="20"/>
    </row>
    <row r="27" spans="1:7" ht="21.75" customHeight="1" x14ac:dyDescent="0.3">
      <c r="A27" s="20"/>
      <c r="B27" s="90" t="s">
        <v>568</v>
      </c>
      <c r="C27" s="91" t="s">
        <v>569</v>
      </c>
      <c r="D27" s="7" t="s">
        <v>570</v>
      </c>
      <c r="E27" s="7"/>
      <c r="F27" s="7"/>
      <c r="G27" s="20"/>
    </row>
    <row r="28" spans="1:7" ht="21.75" customHeight="1" x14ac:dyDescent="0.3">
      <c r="A28" s="20"/>
      <c r="B28" s="90" t="s">
        <v>571</v>
      </c>
      <c r="C28" s="91" t="s">
        <v>572</v>
      </c>
      <c r="D28" s="7" t="s">
        <v>573</v>
      </c>
      <c r="E28" s="7"/>
      <c r="F28" s="7"/>
      <c r="G28" s="20"/>
    </row>
    <row r="29" spans="1:7" ht="21.75" customHeight="1" x14ac:dyDescent="0.3">
      <c r="A29" s="20"/>
      <c r="B29" s="90" t="s">
        <v>574</v>
      </c>
      <c r="C29" s="91" t="s">
        <v>575</v>
      </c>
      <c r="D29" s="90" t="s">
        <v>576</v>
      </c>
      <c r="E29" s="20"/>
      <c r="F29" s="20"/>
      <c r="G29" s="20"/>
    </row>
    <row r="30" spans="1:7" ht="21.75" customHeight="1" x14ac:dyDescent="0.3">
      <c r="A30" s="20"/>
      <c r="B30" s="90" t="s">
        <v>577</v>
      </c>
      <c r="C30" s="91" t="s">
        <v>578</v>
      </c>
      <c r="D30" s="90" t="s">
        <v>579</v>
      </c>
      <c r="E30" s="20"/>
      <c r="F30" s="20"/>
      <c r="G30" s="20"/>
    </row>
    <row r="31" spans="1:7" ht="21.75" customHeight="1" x14ac:dyDescent="0.3">
      <c r="A31" s="20"/>
      <c r="B31" s="90" t="s">
        <v>580</v>
      </c>
      <c r="C31" s="6" t="s">
        <v>581</v>
      </c>
      <c r="D31" s="6"/>
      <c r="E31" s="6"/>
      <c r="F31" s="6"/>
      <c r="G31" s="20"/>
    </row>
    <row r="32" spans="1:7" ht="21.75" customHeight="1" x14ac:dyDescent="0.3">
      <c r="A32" s="20"/>
      <c r="B32" s="90" t="s">
        <v>582</v>
      </c>
      <c r="C32" s="6" t="s">
        <v>583</v>
      </c>
      <c r="D32" s="6"/>
      <c r="E32" s="6"/>
      <c r="F32" s="6"/>
      <c r="G32" s="20"/>
    </row>
    <row r="33" spans="1:7" ht="21.75" customHeight="1" x14ac:dyDescent="0.3">
      <c r="A33" s="20"/>
      <c r="B33" s="90" t="s">
        <v>584</v>
      </c>
      <c r="C33" s="6" t="s">
        <v>583</v>
      </c>
      <c r="D33" s="6"/>
      <c r="E33" s="6"/>
      <c r="F33" s="6"/>
      <c r="G33" s="20"/>
    </row>
    <row r="34" spans="1:7" ht="27.75" customHeight="1" x14ac:dyDescent="0.3">
      <c r="C34" s="12"/>
      <c r="D34" s="12"/>
      <c r="E34" s="12"/>
      <c r="F34" s="12"/>
    </row>
    <row r="35" spans="1:7" ht="21.75" customHeight="1" x14ac:dyDescent="0.3">
      <c r="A35" s="20"/>
      <c r="B35" s="92" t="s">
        <v>585</v>
      </c>
      <c r="C35" s="9"/>
      <c r="D35" s="9"/>
      <c r="E35" s="9"/>
      <c r="F35" s="9"/>
      <c r="G35" s="20"/>
    </row>
    <row r="36" spans="1:7" ht="21.75" customHeight="1" x14ac:dyDescent="0.3">
      <c r="A36" s="88"/>
      <c r="B36" s="79" t="s">
        <v>586</v>
      </c>
      <c r="C36" s="5" t="s">
        <v>587</v>
      </c>
      <c r="D36" s="5"/>
      <c r="E36" s="5"/>
      <c r="F36" s="5"/>
      <c r="G36" s="89"/>
    </row>
    <row r="37" spans="1:7" ht="21.75" customHeight="1" x14ac:dyDescent="0.3">
      <c r="A37" s="20"/>
      <c r="B37" s="90" t="s">
        <v>588</v>
      </c>
      <c r="C37" s="90" t="s">
        <v>589</v>
      </c>
      <c r="D37" s="20"/>
      <c r="E37" s="20"/>
      <c r="F37" s="20"/>
      <c r="G37" s="20"/>
    </row>
    <row r="38" spans="1:7" ht="21.75" customHeight="1" x14ac:dyDescent="0.3">
      <c r="A38" s="20"/>
      <c r="B38" s="90" t="s">
        <v>350</v>
      </c>
      <c r="C38" s="90" t="s">
        <v>590</v>
      </c>
      <c r="D38" s="20"/>
      <c r="E38" s="20"/>
      <c r="F38" s="20"/>
      <c r="G38" s="20"/>
    </row>
    <row r="39" spans="1:7" ht="21.75" customHeight="1" x14ac:dyDescent="0.3">
      <c r="A39" s="20"/>
      <c r="B39" s="90" t="s">
        <v>591</v>
      </c>
      <c r="C39" s="90" t="s">
        <v>592</v>
      </c>
      <c r="D39" s="20"/>
      <c r="E39" s="20"/>
      <c r="F39" s="20"/>
      <c r="G39" s="20"/>
    </row>
    <row r="40" spans="1:7" ht="21.75" customHeight="1" x14ac:dyDescent="0.3">
      <c r="A40" s="20"/>
      <c r="B40" s="90" t="s">
        <v>354</v>
      </c>
      <c r="C40" s="90" t="s">
        <v>593</v>
      </c>
      <c r="D40" s="20"/>
      <c r="E40" s="20"/>
      <c r="F40" s="20"/>
      <c r="G40" s="20"/>
    </row>
    <row r="41" spans="1:7" ht="21.75" customHeight="1" x14ac:dyDescent="0.3">
      <c r="A41" s="20"/>
      <c r="B41" s="90" t="s">
        <v>594</v>
      </c>
      <c r="C41" s="90" t="s">
        <v>595</v>
      </c>
      <c r="D41" s="20"/>
      <c r="E41" s="20"/>
      <c r="F41" s="20"/>
      <c r="G41" s="20"/>
    </row>
  </sheetData>
  <mergeCells count="20">
    <mergeCell ref="C32:F32"/>
    <mergeCell ref="C33:F33"/>
    <mergeCell ref="C34:F34"/>
    <mergeCell ref="C35:F35"/>
    <mergeCell ref="C36:F36"/>
    <mergeCell ref="D25:F25"/>
    <mergeCell ref="D26:F26"/>
    <mergeCell ref="D27:F27"/>
    <mergeCell ref="D28:F28"/>
    <mergeCell ref="C31:F31"/>
    <mergeCell ref="D11:F11"/>
    <mergeCell ref="D21:F21"/>
    <mergeCell ref="D22:F22"/>
    <mergeCell ref="D23:F23"/>
    <mergeCell ref="D24:F24"/>
    <mergeCell ref="B2:F2"/>
    <mergeCell ref="B4:F4"/>
    <mergeCell ref="D8:F8"/>
    <mergeCell ref="D9:F9"/>
    <mergeCell ref="D10:F10"/>
  </mergeCells>
  <pageMargins left="0.75" right="0.75" top="1" bottom="1" header="0.511811023622047" footer="0.511811023622047"/>
  <pageSetup paperSize="9" orientation="portrait" horizontalDpi="300" verticalDpi="300"/>
  <drawing r:id="rId1"/>
  <legacyDrawing r:id="rId2"/>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Worksheets</vt:lpstr>
      </vt:variant>
      <vt:variant>
        <vt:i4>17</vt:i4>
      </vt:variant>
    </vt:vector>
  </HeadingPairs>
  <TitlesOfParts>
    <vt:vector size="17" baseType="lpstr">
      <vt:lpstr>Cover</vt:lpstr>
      <vt:lpstr>Deal Structure</vt:lpstr>
      <vt:lpstr>Cap Table &amp; Ownership</vt:lpstr>
      <vt:lpstr>Historical Financials</vt:lpstr>
      <vt:lpstr>Management Projections</vt:lpstr>
      <vt:lpstr>Valuation &amp; Comps</vt:lpstr>
      <vt:lpstr>PIPE &amp; Investor Detail</vt:lpstr>
      <vt:lpstr>Sponsor &amp; Governance</vt:lpstr>
      <vt:lpstr>Market Opportunity &amp; TAM</vt:lpstr>
      <vt:lpstr>Assumption Framework</vt:lpstr>
      <vt:lpstr>Driver Analysis</vt:lpstr>
      <vt:lpstr>Methodology Ranking</vt:lpstr>
      <vt:lpstr>2026 Peer Comps</vt:lpstr>
      <vt:lpstr>Scenario Model</vt:lpstr>
      <vt:lpstr>Output Tables</vt:lpstr>
      <vt:lpstr>Sources &amp; Data Gaps</vt:lpstr>
      <vt:lpstr>OAKS Shadow Price Trend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dc:description/>
  <cp:lastModifiedBy>srishti jain</cp:lastModifiedBy>
  <cp:revision>11</cp:revision>
  <dcterms:created xsi:type="dcterms:W3CDTF">2026-07-26T11:15:32Z</dcterms:created>
  <dcterms:modified xsi:type="dcterms:W3CDTF">2026-08-07T07:06:29Z</dcterms:modified>
  <dc:language>en-US</dc:language>
</cp:coreProperties>
</file>